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 documentId="8_{689F31A9-25B6-4FC2-9E2F-5D55AE9E69E1}" xr6:coauthVersionLast="47" xr6:coauthVersionMax="47" xr10:uidLastSave="{A42163BA-9D90-4739-8FA2-62A6E7BD20F2}"/>
  <bookViews>
    <workbookView xWindow="-120" yWindow="-120" windowWidth="20730" windowHeight="11160" xr2:uid="{00000000-000D-0000-FFFF-FFFF00000000}"/>
  </bookViews>
  <sheets>
    <sheet name="elektronisk" sheetId="1" r:id="rId1"/>
    <sheet name="beregning" sheetId="2" r:id="rId2"/>
    <sheet name="gødn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5" i="1" l="1"/>
  <c r="AM25" i="1"/>
  <c r="AJ25" i="1"/>
  <c r="AI25" i="1"/>
  <c r="AE25" i="1"/>
  <c r="AD25" i="1"/>
  <c r="AC25" i="1"/>
  <c r="AB25" i="1"/>
  <c r="W25" i="1"/>
  <c r="P25" i="1"/>
  <c r="E25" i="1"/>
  <c r="D25" i="1"/>
  <c r="AN24" i="1"/>
  <c r="AM24" i="1"/>
  <c r="AJ24" i="1"/>
  <c r="AI24" i="1"/>
  <c r="AE24" i="1"/>
  <c r="AD24" i="1"/>
  <c r="AC24" i="1"/>
  <c r="AB24" i="1"/>
  <c r="W24" i="1"/>
  <c r="P24" i="1"/>
  <c r="E24" i="1"/>
  <c r="D24" i="1"/>
  <c r="AN23" i="1"/>
  <c r="AM23" i="1"/>
  <c r="AJ23" i="1"/>
  <c r="AI23" i="1"/>
  <c r="AE23" i="1"/>
  <c r="AD23" i="1"/>
  <c r="AC23" i="1"/>
  <c r="AB23" i="1"/>
  <c r="E23" i="1"/>
  <c r="D23" i="1"/>
  <c r="AN22" i="1"/>
  <c r="AM22" i="1"/>
  <c r="AJ22" i="1"/>
  <c r="AI22" i="1"/>
  <c r="AE22" i="1"/>
  <c r="AD22" i="1"/>
  <c r="AC22" i="1"/>
  <c r="AB22" i="1"/>
  <c r="E22" i="1"/>
  <c r="D22" i="1"/>
  <c r="AN21" i="1"/>
  <c r="AM21" i="1"/>
  <c r="AJ21" i="1"/>
  <c r="AI21" i="1"/>
  <c r="AE21" i="1"/>
  <c r="AD21" i="1"/>
  <c r="AC21" i="1"/>
  <c r="AB21" i="1"/>
  <c r="E21" i="1"/>
  <c r="D21" i="1"/>
  <c r="AN20" i="1"/>
  <c r="AM20" i="1"/>
  <c r="AJ20" i="1"/>
  <c r="AI20" i="1"/>
  <c r="AE20" i="1"/>
  <c r="AD20" i="1"/>
  <c r="AC20" i="1"/>
  <c r="AB20" i="1"/>
  <c r="W20" i="1"/>
  <c r="P20" i="1"/>
  <c r="E20" i="1"/>
  <c r="D20" i="1"/>
  <c r="AN19" i="1"/>
  <c r="AM19" i="1"/>
  <c r="AJ19" i="1"/>
  <c r="AI19" i="1"/>
  <c r="AE19" i="1"/>
  <c r="AD19" i="1"/>
  <c r="AC19" i="1"/>
  <c r="AB19" i="1"/>
  <c r="W19" i="1"/>
  <c r="P19" i="1"/>
  <c r="E19" i="1"/>
  <c r="D19" i="1"/>
  <c r="AN18" i="1"/>
  <c r="AM18" i="1"/>
  <c r="AJ18" i="1"/>
  <c r="AI18" i="1"/>
  <c r="AE18" i="1"/>
  <c r="AD18" i="1"/>
  <c r="AC18" i="1"/>
  <c r="AB18" i="1"/>
  <c r="E18" i="1"/>
  <c r="D18" i="1"/>
  <c r="AN17" i="1"/>
  <c r="AM17" i="1"/>
  <c r="AJ17" i="1"/>
  <c r="AI17" i="1"/>
  <c r="AE17" i="1"/>
  <c r="AD17" i="1"/>
  <c r="AC17" i="1"/>
  <c r="AB17" i="1"/>
  <c r="E17" i="1"/>
  <c r="D17" i="1"/>
  <c r="AN16" i="1"/>
  <c r="AM16" i="1"/>
  <c r="AJ16" i="1"/>
  <c r="AI16" i="1"/>
  <c r="AE16" i="1"/>
  <c r="AD16" i="1"/>
  <c r="AC16" i="1"/>
  <c r="AB16" i="1"/>
  <c r="E16" i="1"/>
  <c r="D16" i="1"/>
  <c r="AN30" i="1"/>
  <c r="AM30" i="1"/>
  <c r="AJ30" i="1"/>
  <c r="AI30" i="1"/>
  <c r="AE30" i="1"/>
  <c r="AD30" i="1"/>
  <c r="AC30" i="1"/>
  <c r="AB30" i="1"/>
  <c r="W30" i="1"/>
  <c r="P30" i="1"/>
  <c r="E30" i="1"/>
  <c r="D30" i="1"/>
  <c r="AN29" i="1"/>
  <c r="AM29" i="1"/>
  <c r="AJ29" i="1"/>
  <c r="AI29" i="1"/>
  <c r="AE29" i="1"/>
  <c r="AD29" i="1"/>
  <c r="AC29" i="1"/>
  <c r="AB29" i="1"/>
  <c r="W29" i="1"/>
  <c r="P29" i="1"/>
  <c r="E29" i="1"/>
  <c r="D29" i="1"/>
  <c r="AN28" i="1"/>
  <c r="AM28" i="1"/>
  <c r="AJ28" i="1"/>
  <c r="AI28" i="1"/>
  <c r="AE28" i="1"/>
  <c r="AD28" i="1"/>
  <c r="AC28" i="1"/>
  <c r="AB28" i="1"/>
  <c r="E28" i="1"/>
  <c r="D28" i="1"/>
  <c r="AN27" i="1"/>
  <c r="AM27" i="1"/>
  <c r="AJ27" i="1"/>
  <c r="AI27" i="1"/>
  <c r="AE27" i="1"/>
  <c r="AD27" i="1"/>
  <c r="AC27" i="1"/>
  <c r="AB27" i="1"/>
  <c r="E27" i="1"/>
  <c r="D27" i="1"/>
  <c r="AN26" i="1"/>
  <c r="AM26" i="1"/>
  <c r="AJ26" i="1"/>
  <c r="AI26" i="1"/>
  <c r="AE26" i="1"/>
  <c r="AD26" i="1"/>
  <c r="AC26" i="1"/>
  <c r="AB26" i="1"/>
  <c r="E26" i="1"/>
  <c r="D26" i="1"/>
  <c r="AB31" i="1"/>
  <c r="AC31" i="1"/>
  <c r="AD31" i="1"/>
  <c r="AE31" i="1"/>
  <c r="D31" i="1"/>
  <c r="E31" i="1"/>
  <c r="AI31" i="1"/>
  <c r="AJ31" i="1"/>
  <c r="AM31" i="1"/>
  <c r="AN31" i="1"/>
  <c r="D32" i="1"/>
  <c r="E32" i="1"/>
  <c r="AB32" i="1"/>
  <c r="AC32" i="1"/>
  <c r="AD32" i="1"/>
  <c r="AE32" i="1"/>
  <c r="AI32" i="1"/>
  <c r="AJ32" i="1"/>
  <c r="AM32" i="1"/>
  <c r="AN32" i="1"/>
  <c r="D33" i="1"/>
  <c r="E33" i="1"/>
  <c r="AB33" i="1"/>
  <c r="AC33" i="1"/>
  <c r="AD33" i="1"/>
  <c r="AE33" i="1"/>
  <c r="AI33" i="1"/>
  <c r="AJ33" i="1"/>
  <c r="AM33" i="1"/>
  <c r="AN33" i="1"/>
  <c r="D34" i="1"/>
  <c r="E34" i="1"/>
  <c r="P34" i="1"/>
  <c r="W34" i="1"/>
  <c r="AB34" i="1"/>
  <c r="AC34" i="1"/>
  <c r="AD34" i="1"/>
  <c r="AE34" i="1"/>
  <c r="AI34" i="1"/>
  <c r="AJ34" i="1"/>
  <c r="AM34" i="1"/>
  <c r="AN34" i="1"/>
  <c r="D35" i="1"/>
  <c r="E35" i="1"/>
  <c r="P35" i="1"/>
  <c r="W35" i="1"/>
  <c r="AB35" i="1"/>
  <c r="AC35" i="1"/>
  <c r="AD35" i="1"/>
  <c r="AE35" i="1"/>
  <c r="AI35" i="1"/>
  <c r="AJ35" i="1"/>
  <c r="AM35" i="1"/>
  <c r="AN35" i="1"/>
  <c r="X36" i="1"/>
  <c r="D57" i="2"/>
  <c r="D56" i="2"/>
  <c r="D55" i="2"/>
  <c r="D54" i="2"/>
  <c r="D53" i="2"/>
  <c r="D52" i="2"/>
  <c r="D51" i="2"/>
  <c r="D50" i="2"/>
  <c r="D49" i="2"/>
  <c r="D48" i="2"/>
  <c r="D47" i="2"/>
  <c r="D46" i="2"/>
  <c r="D45" i="2"/>
  <c r="D44" i="2"/>
  <c r="D39" i="2" l="1"/>
  <c r="D38" i="2"/>
  <c r="D37" i="2"/>
  <c r="D36" i="2"/>
  <c r="D33" i="2"/>
  <c r="D32" i="2"/>
  <c r="D27" i="2"/>
  <c r="F22" i="2" s="1"/>
  <c r="E18" i="2"/>
  <c r="D18" i="2"/>
  <c r="F18" i="2" s="1"/>
  <c r="C18" i="2"/>
  <c r="F17" i="2"/>
  <c r="E17" i="2"/>
  <c r="D17" i="2"/>
  <c r="G17" i="2" s="1"/>
  <c r="C17" i="2"/>
  <c r="G16" i="2"/>
  <c r="F16" i="2"/>
  <c r="D16" i="2"/>
  <c r="E16" i="2" s="1"/>
  <c r="C16" i="2"/>
  <c r="D15" i="2"/>
  <c r="E15" i="2" s="1"/>
  <c r="C15" i="2"/>
  <c r="B14" i="2"/>
  <c r="G13" i="2"/>
  <c r="F13" i="2"/>
  <c r="D13" i="2"/>
  <c r="E13" i="2" s="1"/>
  <c r="C13" i="2"/>
  <c r="C14" i="2" s="1"/>
  <c r="D12" i="2"/>
  <c r="E12" i="2" s="1"/>
  <c r="C12" i="2"/>
  <c r="D11" i="2"/>
  <c r="F11" i="2" s="1"/>
  <c r="C11" i="2"/>
  <c r="D10" i="2"/>
  <c r="G10" i="2" s="1"/>
  <c r="C10" i="2"/>
  <c r="D9" i="2"/>
  <c r="G9" i="2" s="1"/>
  <c r="C9" i="2"/>
  <c r="E14" i="2" l="1"/>
  <c r="E9" i="2"/>
  <c r="F9" i="2"/>
  <c r="E11" i="2"/>
  <c r="E10" i="2"/>
  <c r="F10" i="2"/>
  <c r="G11" i="2"/>
  <c r="D28" i="2"/>
  <c r="G12" i="2"/>
  <c r="D14" i="2"/>
  <c r="G15" i="2"/>
  <c r="G14" i="2" s="1"/>
  <c r="F12" i="2"/>
  <c r="F15" i="2"/>
  <c r="F14" i="2" s="1"/>
  <c r="G18" i="2"/>
  <c r="F27" i="2" l="1"/>
  <c r="F28" i="2"/>
  <c r="B192" i="3" l="1"/>
  <c r="D191" i="3"/>
  <c r="G135" i="3"/>
  <c r="F135" i="3"/>
  <c r="E135" i="3"/>
  <c r="D135" i="3"/>
  <c r="C135" i="3"/>
  <c r="S37" i="3"/>
  <c r="T32" i="3"/>
  <c r="E31" i="3"/>
  <c r="D31" i="3"/>
  <c r="C31" i="3"/>
  <c r="B31" i="3"/>
  <c r="V25" i="3"/>
  <c r="U25" i="3"/>
  <c r="V24" i="3"/>
  <c r="U24" i="3"/>
  <c r="G13" i="3"/>
  <c r="L11" i="3"/>
  <c r="K11" i="3"/>
  <c r="J11" i="3"/>
  <c r="I11" i="3"/>
  <c r="H11" i="3"/>
  <c r="H14" i="3" s="1"/>
  <c r="F3" i="1"/>
  <c r="J27" i="3" l="1"/>
  <c r="V27" i="3" s="1"/>
  <c r="H30" i="3"/>
  <c r="T30" i="3" s="1"/>
  <c r="H27" i="3"/>
  <c r="I33" i="3"/>
  <c r="U33" i="3" s="1"/>
  <c r="I27" i="3"/>
  <c r="T13" i="3"/>
  <c r="K29" i="3"/>
  <c r="J31" i="3"/>
  <c r="V31" i="3" s="1"/>
  <c r="J17" i="3"/>
  <c r="V17" i="3" s="1"/>
  <c r="H18" i="3"/>
  <c r="J21" i="3"/>
  <c r="V21" i="3" s="1"/>
  <c r="H22" i="3"/>
  <c r="H26" i="3"/>
  <c r="J29" i="3"/>
  <c r="V29" i="3" s="1"/>
  <c r="I31" i="3"/>
  <c r="J32" i="3"/>
  <c r="H33" i="3"/>
  <c r="I17" i="3"/>
  <c r="I21" i="3"/>
  <c r="I29" i="3"/>
  <c r="H31" i="3"/>
  <c r="I32" i="3"/>
  <c r="J16" i="3"/>
  <c r="V16" i="3" s="1"/>
  <c r="H17" i="3"/>
  <c r="J20" i="3"/>
  <c r="V20" i="3" s="1"/>
  <c r="H21" i="3"/>
  <c r="K28" i="3"/>
  <c r="H29" i="3"/>
  <c r="K34" i="3"/>
  <c r="I20" i="3"/>
  <c r="I16" i="3"/>
  <c r="J28" i="3"/>
  <c r="V28" i="3" s="1"/>
  <c r="J34" i="3"/>
  <c r="V34" i="3" s="1"/>
  <c r="H12" i="3"/>
  <c r="I12" i="3" s="1"/>
  <c r="J15" i="3"/>
  <c r="V15" i="3" s="1"/>
  <c r="H16" i="3"/>
  <c r="J19" i="3"/>
  <c r="V19" i="3" s="1"/>
  <c r="H20" i="3"/>
  <c r="J23" i="3"/>
  <c r="V23" i="3" s="1"/>
  <c r="H24" i="3"/>
  <c r="I28" i="3"/>
  <c r="I34" i="3"/>
  <c r="J30" i="3"/>
  <c r="V30" i="3" s="1"/>
  <c r="O11" i="3"/>
  <c r="I15" i="3"/>
  <c r="I19" i="3"/>
  <c r="I23" i="3"/>
  <c r="K26" i="3"/>
  <c r="H28" i="3"/>
  <c r="K33" i="3"/>
  <c r="H34" i="3"/>
  <c r="N11" i="3"/>
  <c r="J14" i="3"/>
  <c r="V14" i="3" s="1"/>
  <c r="H15" i="3"/>
  <c r="J18" i="3"/>
  <c r="V18" i="3" s="1"/>
  <c r="H19" i="3"/>
  <c r="J22" i="3"/>
  <c r="V22" i="3" s="1"/>
  <c r="H23" i="3"/>
  <c r="H25" i="3"/>
  <c r="J26" i="3"/>
  <c r="V26" i="3" s="1"/>
  <c r="I30" i="3"/>
  <c r="J33" i="3"/>
  <c r="V33" i="3" s="1"/>
  <c r="I14" i="3"/>
  <c r="I18" i="3"/>
  <c r="I22" i="3"/>
  <c r="I26" i="3"/>
  <c r="Y30" i="3" l="1"/>
  <c r="X27" i="3"/>
  <c r="U27" i="3"/>
  <c r="Y27" i="3"/>
  <c r="O27" i="3"/>
  <c r="N27" i="3"/>
  <c r="T27" i="3"/>
  <c r="T34" i="3"/>
  <c r="Y34" i="3"/>
  <c r="N34" i="3"/>
  <c r="O34" i="3"/>
  <c r="U14" i="3"/>
  <c r="X14" i="3"/>
  <c r="X23" i="3"/>
  <c r="U23" i="3"/>
  <c r="U16" i="3"/>
  <c r="X16" i="3"/>
  <c r="U31" i="3"/>
  <c r="X31" i="3"/>
  <c r="U18" i="3"/>
  <c r="X18" i="3"/>
  <c r="Y19" i="3"/>
  <c r="N19" i="3"/>
  <c r="O19" i="3"/>
  <c r="T19" i="3"/>
  <c r="Y24" i="3"/>
  <c r="T24" i="3"/>
  <c r="X24" i="3"/>
  <c r="N17" i="3"/>
  <c r="O17" i="3"/>
  <c r="T17" i="3"/>
  <c r="Y17" i="3"/>
  <c r="O32" i="3"/>
  <c r="V32" i="3"/>
  <c r="V36" i="3" s="1"/>
  <c r="Y14" i="3"/>
  <c r="N14" i="3"/>
  <c r="O14" i="3"/>
  <c r="T14" i="3"/>
  <c r="U22" i="3"/>
  <c r="X22" i="3"/>
  <c r="T28" i="3"/>
  <c r="Y28" i="3"/>
  <c r="N28" i="3"/>
  <c r="O28" i="3"/>
  <c r="U28" i="3"/>
  <c r="X28" i="3"/>
  <c r="Y33" i="3"/>
  <c r="N33" i="3"/>
  <c r="O33" i="3"/>
  <c r="T33" i="3"/>
  <c r="X26" i="3"/>
  <c r="U26" i="3"/>
  <c r="Y23" i="3"/>
  <c r="N23" i="3"/>
  <c r="O23" i="3"/>
  <c r="T23" i="3"/>
  <c r="U34" i="3"/>
  <c r="X34" i="3"/>
  <c r="N21" i="3"/>
  <c r="O21" i="3"/>
  <c r="T21" i="3"/>
  <c r="Y21" i="3"/>
  <c r="U17" i="3"/>
  <c r="X17" i="3"/>
  <c r="Y18" i="3"/>
  <c r="N18" i="3"/>
  <c r="O18" i="3"/>
  <c r="T18" i="3"/>
  <c r="X33" i="3"/>
  <c r="T25" i="3"/>
  <c r="X25" i="3"/>
  <c r="Y25" i="3"/>
  <c r="U21" i="3"/>
  <c r="X21" i="3"/>
  <c r="T16" i="3"/>
  <c r="Y16" i="3"/>
  <c r="N16" i="3"/>
  <c r="O16" i="3"/>
  <c r="N29" i="3"/>
  <c r="O29" i="3"/>
  <c r="T29" i="3"/>
  <c r="Y29" i="3"/>
  <c r="U29" i="3"/>
  <c r="X29" i="3"/>
  <c r="Y22" i="3"/>
  <c r="N22" i="3"/>
  <c r="O22" i="3"/>
  <c r="T22" i="3"/>
  <c r="X30" i="3"/>
  <c r="U30" i="3"/>
  <c r="X15" i="3"/>
  <c r="U15" i="3"/>
  <c r="T31" i="3"/>
  <c r="Y31" i="3"/>
  <c r="Y26" i="3"/>
  <c r="N26" i="3"/>
  <c r="O26" i="3"/>
  <c r="T26" i="3"/>
  <c r="Y15" i="3"/>
  <c r="N15" i="3"/>
  <c r="O15" i="3"/>
  <c r="T15" i="3"/>
  <c r="X19" i="3"/>
  <c r="U19" i="3"/>
  <c r="T20" i="3"/>
  <c r="Y20" i="3"/>
  <c r="N20" i="3"/>
  <c r="O20" i="3"/>
  <c r="U20" i="3"/>
  <c r="X20" i="3"/>
  <c r="N32" i="3"/>
  <c r="U32" i="3"/>
  <c r="X32" i="3"/>
  <c r="Y32" i="3"/>
  <c r="N30" i="3"/>
  <c r="O30" i="3"/>
  <c r="T36" i="3" l="1"/>
  <c r="U36" i="3"/>
</calcChain>
</file>

<file path=xl/sharedStrings.xml><?xml version="1.0" encoding="utf-8"?>
<sst xmlns="http://schemas.openxmlformats.org/spreadsheetml/2006/main" count="565" uniqueCount="477">
  <si>
    <t>antal udfyldte høstrapporter:</t>
  </si>
  <si>
    <t>Grundoplysninger:</t>
  </si>
  <si>
    <t xml:space="preserve"> Dette års høstresultat:</t>
  </si>
  <si>
    <t>afstand</t>
  </si>
  <si>
    <t xml:space="preserve"> Druesort</t>
  </si>
  <si>
    <t>Vinmarkens Postdistrikt</t>
  </si>
  <si>
    <t>Medlemsnr.</t>
  </si>
  <si>
    <t>Voksested FHPM</t>
  </si>
  <si>
    <t>rækkeretning +/-90o fra N</t>
  </si>
  <si>
    <t>hældningsretning</t>
  </si>
  <si>
    <t>Antal stokke</t>
  </si>
  <si>
    <t>Række cm</t>
  </si>
  <si>
    <t>Plante cm</t>
  </si>
  <si>
    <t>Plante år</t>
  </si>
  <si>
    <t>Beskæringssystem,     DG, EG, K, S</t>
  </si>
  <si>
    <t xml:space="preserve"> Udspring</t>
  </si>
  <si>
    <t xml:space="preserve"> blomst</t>
  </si>
  <si>
    <t>Høst</t>
  </si>
  <si>
    <t>blomst  - høst</t>
  </si>
  <si>
    <t>Antal kg</t>
  </si>
  <si>
    <t>Sukker oOe</t>
  </si>
  <si>
    <t>Syre g/l</t>
  </si>
  <si>
    <t>PH</t>
  </si>
  <si>
    <t>Modenhed     200-270</t>
  </si>
  <si>
    <t>sukker/syre</t>
  </si>
  <si>
    <t xml:space="preserve"> kg/m2</t>
  </si>
  <si>
    <t>kg/ plante</t>
  </si>
  <si>
    <t>Navn:</t>
  </si>
  <si>
    <t>Farve N B</t>
  </si>
  <si>
    <t>Jordbund</t>
  </si>
  <si>
    <t>Jordbund angives fra 1 til 12</t>
  </si>
  <si>
    <t>hældning i %</t>
  </si>
  <si>
    <t>DG</t>
  </si>
  <si>
    <t>dobbelt guyot</t>
  </si>
  <si>
    <t>EG</t>
  </si>
  <si>
    <t>enkelt guyot</t>
  </si>
  <si>
    <t>K</t>
  </si>
  <si>
    <t>kordon</t>
  </si>
  <si>
    <t>S</t>
  </si>
  <si>
    <t>sylvos</t>
  </si>
  <si>
    <t>V</t>
  </si>
  <si>
    <t>Vifte</t>
  </si>
  <si>
    <t>SH</t>
  </si>
  <si>
    <t>Scott Henry</t>
  </si>
  <si>
    <t>JB</t>
  </si>
  <si>
    <t>Grovsandet jord</t>
  </si>
  <si>
    <t>Finsandet jord</t>
  </si>
  <si>
    <t>Grov lerblandet sand</t>
  </si>
  <si>
    <t>Fin lerblandet sand</t>
  </si>
  <si>
    <t>Grov sandblandet ler</t>
  </si>
  <si>
    <t>Fin sandblandet ler</t>
  </si>
  <si>
    <t>Lerjord</t>
  </si>
  <si>
    <t>Svær lerjord</t>
  </si>
  <si>
    <t>Meget svær lerjord</t>
  </si>
  <si>
    <t>Silt</t>
  </si>
  <si>
    <t>Humus</t>
  </si>
  <si>
    <t>Kalkrig jord</t>
  </si>
  <si>
    <t>Røde felter indeholder formler</t>
  </si>
  <si>
    <t>Dyrkningsform:</t>
  </si>
  <si>
    <t>Jordens pH</t>
  </si>
  <si>
    <t>v-formet stamme</t>
  </si>
  <si>
    <t>Gråskimmel</t>
  </si>
  <si>
    <t>Meldug</t>
  </si>
  <si>
    <t>(Botrytis)</t>
  </si>
  <si>
    <t>Oidium</t>
  </si>
  <si>
    <t>Peronospera</t>
  </si>
  <si>
    <t>Sygdomme:</t>
  </si>
  <si>
    <t>Skala:</t>
  </si>
  <si>
    <t>ingen symptomer</t>
  </si>
  <si>
    <t>svage symptomer</t>
  </si>
  <si>
    <t xml:space="preserve">middel </t>
  </si>
  <si>
    <t>over middel</t>
  </si>
  <si>
    <t>kraftigt angrebne</t>
  </si>
  <si>
    <t>(på blade og skud ikke på klaser)</t>
  </si>
  <si>
    <t>(angreb på blade, skud og enkelte klaser)</t>
  </si>
  <si>
    <t>udbredte angreb på både blade, skud og klaser</t>
  </si>
  <si>
    <t>udbredte angreb på både blade, skud og en del klaser</t>
  </si>
  <si>
    <t>Medlemsnummer</t>
  </si>
  <si>
    <t>SK</t>
  </si>
  <si>
    <t>Sylvos med fast kordon</t>
  </si>
  <si>
    <t>Jordens pH måles således:</t>
  </si>
  <si>
    <t>1. En skovlfuld jord samlet fra vinmarken lægges i en ren spand</t>
  </si>
  <si>
    <t>3. Der røres godt i løbet af en time</t>
  </si>
  <si>
    <t>2. Jorden dækkes med vand</t>
  </si>
  <si>
    <t>4. pH værdien måles</t>
  </si>
  <si>
    <t>Farve:</t>
  </si>
  <si>
    <t>Voksested:</t>
  </si>
  <si>
    <t>farveskifte</t>
  </si>
  <si>
    <t>Her noteres omfang af sygdommen efter følgende skala:</t>
  </si>
  <si>
    <t>Modenhed</t>
  </si>
  <si>
    <t>syre</t>
  </si>
  <si>
    <t>(GB)godkendt biodynamisk</t>
  </si>
  <si>
    <t>(B)biodynamisk</t>
  </si>
  <si>
    <t>(SØ)statskontrolleret økologisk</t>
  </si>
  <si>
    <t xml:space="preserve">(Ø)økologisk </t>
  </si>
  <si>
    <t>(GD)genuine danske vine</t>
  </si>
  <si>
    <t>(IK)bruger ikke kunstgødning</t>
  </si>
  <si>
    <t>(IP)sprøjter ikke med pesticider</t>
  </si>
  <si>
    <t>(K)konventionelt</t>
  </si>
  <si>
    <t>Bemærkning</t>
  </si>
  <si>
    <t>Dyrkningsform</t>
  </si>
  <si>
    <t>Beregning af sukker</t>
  </si>
  <si>
    <t>Indtast i de blå felter</t>
  </si>
  <si>
    <t>Sukkertilsætning i grundvin. Må max hæves med 3% alc. i normale år, og til max 12% alc for rødvin.</t>
  </si>
  <si>
    <t>Nødvendig sukkermængde afhænger af gæringstemperatur</t>
  </si>
  <si>
    <t>målt oOe</t>
  </si>
  <si>
    <t>mangler</t>
  </si>
  <si>
    <t>tilsætning af sukker</t>
  </si>
  <si>
    <t>op til</t>
  </si>
  <si>
    <t>%sprit</t>
  </si>
  <si>
    <t>g pr liter</t>
  </si>
  <si>
    <t>Indsæt ballonstørrelse</t>
  </si>
  <si>
    <t>Minimums grænse for vin if. EU forordning</t>
  </si>
  <si>
    <t>Max 11½% for hvidvin ved sukkertilsætning</t>
  </si>
  <si>
    <t>Max 12% for rødvin ved sukkertilsætning</t>
  </si>
  <si>
    <t>Grænse for alkoholindhold i vin if. EU forordning</t>
  </si>
  <si>
    <t>Mousserende vin (10-11% alc i tør grundvin)</t>
  </si>
  <si>
    <t>Start på flaskegæringen (andengæringen)</t>
  </si>
  <si>
    <t>gram sukker pr. l pr. bar</t>
  </si>
  <si>
    <t>kontrol</t>
  </si>
  <si>
    <t>rettet fra 3,1 i henhold til www.winegrowers.info   1/12 2016</t>
  </si>
  <si>
    <t>restsukker</t>
  </si>
  <si>
    <t>gram/liter</t>
  </si>
  <si>
    <t>ønsket tryk</t>
  </si>
  <si>
    <t>bar</t>
  </si>
  <si>
    <t>Flaskestørrelse</t>
  </si>
  <si>
    <t xml:space="preserve">antal flasker </t>
  </si>
  <si>
    <t>liter vin</t>
  </si>
  <si>
    <t>gram sukker pr. liter</t>
  </si>
  <si>
    <t>sukkertilsætning</t>
  </si>
  <si>
    <t>gram</t>
  </si>
  <si>
    <t>gram sukker pr. flaske</t>
  </si>
  <si>
    <t>Mousserende vin , ompropning</t>
  </si>
  <si>
    <t>Transportlikørblanding</t>
  </si>
  <si>
    <t>i alt</t>
  </si>
  <si>
    <t>Svovlmængde</t>
  </si>
  <si>
    <t>frit svovl ekstra</t>
  </si>
  <si>
    <t>gram svovlpulver</t>
  </si>
  <si>
    <t>likørmængde pr. flaske</t>
  </si>
  <si>
    <t>cl likør</t>
  </si>
  <si>
    <t>ekstra tør</t>
  </si>
  <si>
    <t>tør</t>
  </si>
  <si>
    <t>halvtør</t>
  </si>
  <si>
    <t>sød</t>
  </si>
  <si>
    <t>Grundstamme</t>
  </si>
  <si>
    <t xml:space="preserve">Her angives dato for farveskifte </t>
  </si>
  <si>
    <t>Datoer angives som DD-MM</t>
  </si>
  <si>
    <t>Acolon</t>
  </si>
  <si>
    <t>Adalmiina</t>
  </si>
  <si>
    <t>Agat Don Skeyi</t>
  </si>
  <si>
    <t>Anastasja</t>
  </si>
  <si>
    <t>AugusztuIP Muscat</t>
  </si>
  <si>
    <t>Baron</t>
  </si>
  <si>
    <t>Bianca</t>
  </si>
  <si>
    <t>Birsthaler Muscat</t>
  </si>
  <si>
    <t>Blau Fränkirsch</t>
  </si>
  <si>
    <t>Blauer Zweigelt</t>
  </si>
  <si>
    <t>Blå Frühburgunder/Pinot noir precoce</t>
  </si>
  <si>
    <t>Blå Spätburgunder</t>
  </si>
  <si>
    <t>Bolero</t>
  </si>
  <si>
    <t>Brianna</t>
  </si>
  <si>
    <t>Cabaret Noir</t>
  </si>
  <si>
    <t>Cabernet Cantor</t>
  </si>
  <si>
    <t>Cabernet Carol</t>
  </si>
  <si>
    <t>Cabernet Cortis</t>
  </si>
  <si>
    <t>Cabernet Sauvignon</t>
  </si>
  <si>
    <t>Calendro</t>
  </si>
  <si>
    <t>Canadice</t>
  </si>
  <si>
    <t>Castel</t>
  </si>
  <si>
    <t>CGL-675</t>
  </si>
  <si>
    <t>Chardonnay</t>
  </si>
  <si>
    <t>Dolcetto</t>
  </si>
  <si>
    <t>Don Muskat</t>
  </si>
  <si>
    <t>Dubljanskij</t>
  </si>
  <si>
    <t>ES 8-2-43</t>
  </si>
  <si>
    <t>Eszther</t>
  </si>
  <si>
    <t>Felicia</t>
  </si>
  <si>
    <t>Gelber Traminer</t>
  </si>
  <si>
    <t>Gewürztraminer</t>
  </si>
  <si>
    <t>GM 7941-11</t>
  </si>
  <si>
    <t>GM 7941-9</t>
  </si>
  <si>
    <t>Grau Burgunder</t>
  </si>
  <si>
    <t>Grüner Veltliner</t>
  </si>
  <si>
    <t>Johanniter</t>
  </si>
  <si>
    <t>Jutrzenka</t>
  </si>
  <si>
    <t>Kerner</t>
  </si>
  <si>
    <t>Korender</t>
  </si>
  <si>
    <t>Krasen</t>
  </si>
  <si>
    <t>KW 87-1</t>
  </si>
  <si>
    <t xml:space="preserve">Leon Millot </t>
  </si>
  <si>
    <t>Lilla</t>
  </si>
  <si>
    <t>Lucie Kuhlmann</t>
  </si>
  <si>
    <t>Madelaine Angevine</t>
  </si>
  <si>
    <t>Maréshal Foch</t>
  </si>
  <si>
    <t>Marechal Joffre</t>
  </si>
  <si>
    <t>Marquette</t>
  </si>
  <si>
    <t>Mellot</t>
  </si>
  <si>
    <t>Merzling</t>
  </si>
  <si>
    <t>Monarch</t>
  </si>
  <si>
    <t>MT2 (Ungarn)</t>
  </si>
  <si>
    <t>Muscaris</t>
  </si>
  <si>
    <t>Muscat Bleu Garnier</t>
  </si>
  <si>
    <t>Muscat Bleu</t>
  </si>
  <si>
    <t>Müller Thurgau</t>
  </si>
  <si>
    <t>Nero</t>
  </si>
  <si>
    <t>NN Spise</t>
  </si>
  <si>
    <t>Orion</t>
  </si>
  <si>
    <t>Ortega</t>
  </si>
  <si>
    <t>Osella</t>
  </si>
  <si>
    <t>Palatina</t>
  </si>
  <si>
    <t>Phoenix</t>
  </si>
  <si>
    <t>Pinotin</t>
  </si>
  <si>
    <t>Portugiser</t>
  </si>
  <si>
    <t>Precoce de Malingre</t>
  </si>
  <si>
    <t>Reberger</t>
  </si>
  <si>
    <t>Reform</t>
  </si>
  <si>
    <t xml:space="preserve">Regent  </t>
  </si>
  <si>
    <t>Reliance</t>
  </si>
  <si>
    <t>Riesel</t>
  </si>
  <si>
    <t>Rondo</t>
  </si>
  <si>
    <t>RR1 (Ungarn)</t>
  </si>
  <si>
    <t>Sagrantino</t>
  </si>
  <si>
    <t>Sauvignon Blanc</t>
  </si>
  <si>
    <t>Savet</t>
  </si>
  <si>
    <t>Seyval Blanc</t>
  </si>
  <si>
    <t>Sibera</t>
  </si>
  <si>
    <t>Siegerrebe</t>
  </si>
  <si>
    <t>Sirius</t>
  </si>
  <si>
    <t>Soigvignier Gris</t>
  </si>
  <si>
    <t>Solaris</t>
  </si>
  <si>
    <t>Soverin Coronation</t>
  </si>
  <si>
    <t>St. Laurent</t>
  </si>
  <si>
    <t>Super Hamburger</t>
  </si>
  <si>
    <t>Triumphe de alsace</t>
  </si>
  <si>
    <t>Zalas Perle</t>
  </si>
  <si>
    <t>Zilga</t>
  </si>
  <si>
    <t>egen</t>
  </si>
  <si>
    <t>SO4</t>
  </si>
  <si>
    <t>101-14 Millardet</t>
  </si>
  <si>
    <t>5 C Geisenheim</t>
  </si>
  <si>
    <t xml:space="preserve"> 5 C Teleki</t>
  </si>
  <si>
    <t>Binova</t>
  </si>
  <si>
    <t>Börner</t>
  </si>
  <si>
    <t>Gravesac</t>
  </si>
  <si>
    <t>Kober 125 AA</t>
  </si>
  <si>
    <t>Kober 5 BB</t>
  </si>
  <si>
    <t>Riparia Gloire</t>
  </si>
  <si>
    <t>RU 140</t>
  </si>
  <si>
    <t>Teleki 8 B</t>
  </si>
  <si>
    <t>3309 Coudere</t>
  </si>
  <si>
    <t>420 A</t>
  </si>
  <si>
    <t>Foreningen Dansk Vin</t>
  </si>
  <si>
    <t>Vinnskimmel</t>
  </si>
  <si>
    <r>
      <t>TK2</t>
    </r>
    <r>
      <rPr>
        <sz val="9"/>
        <rFont val="Calibri"/>
        <family val="2"/>
      </rPr>
      <t>T</t>
    </r>
  </si>
  <si>
    <t>Erhvervsavler</t>
  </si>
  <si>
    <t>N</t>
  </si>
  <si>
    <t>B</t>
  </si>
  <si>
    <t xml:space="preserve"> betyder grøn drue og </t>
  </si>
  <si>
    <t xml:space="preserve"> står for blå drue</t>
  </si>
  <si>
    <t>F</t>
  </si>
  <si>
    <t xml:space="preserve"> betyder friland,   </t>
  </si>
  <si>
    <t>H</t>
  </si>
  <si>
    <t xml:space="preserve"> betyder drivhus,</t>
  </si>
  <si>
    <t>P</t>
  </si>
  <si>
    <t xml:space="preserve"> pergola,</t>
  </si>
  <si>
    <t>M</t>
  </si>
  <si>
    <t xml:space="preserve"> husmur</t>
  </si>
  <si>
    <t>Hvad tænkes høsten anvendt til</t>
  </si>
  <si>
    <t>m</t>
  </si>
  <si>
    <t>mousserende vin</t>
  </si>
  <si>
    <t>h</t>
  </si>
  <si>
    <t>hvidvin</t>
  </si>
  <si>
    <t>ro</t>
  </si>
  <si>
    <t>rosé</t>
  </si>
  <si>
    <t>r</t>
  </si>
  <si>
    <t>rødvin</t>
  </si>
  <si>
    <t>he</t>
  </si>
  <si>
    <t>hedvin</t>
  </si>
  <si>
    <t>s</t>
  </si>
  <si>
    <t>sød dessertvin</t>
  </si>
  <si>
    <t>syg</t>
  </si>
  <si>
    <t>tvangshøstet pga sygdom</t>
  </si>
  <si>
    <t>vejr</t>
  </si>
  <si>
    <t>tvangshøstet pga vejret</t>
  </si>
  <si>
    <t>x</t>
  </si>
  <si>
    <t>andet, angiv i bemærkningsfelt</t>
  </si>
  <si>
    <t>Skal resultatet med i Vinpressen skal det ske senest 30. november</t>
  </si>
  <si>
    <t>Postnr. vinmark:</t>
  </si>
  <si>
    <t>I de tilfælde, at samme druesort høstes ad to eller flere omgange, laves der en linie for hver høst</t>
  </si>
  <si>
    <t>Antallet af vinstokke fordeles da proportionalt med høstmængden de enkelte gange</t>
  </si>
  <si>
    <t>Forklaringer:</t>
  </si>
  <si>
    <r>
      <t>Areal m</t>
    </r>
    <r>
      <rPr>
        <vertAlign val="superscript"/>
        <sz val="8"/>
        <rFont val="Calibri"/>
        <family val="2"/>
        <scheme val="minor"/>
      </rPr>
      <t>2</t>
    </r>
  </si>
  <si>
    <t>Indhold af næringsstoffer i husdyrgødning</t>
  </si>
  <si>
    <t>Afgrøder</t>
  </si>
  <si>
    <t>Asier</t>
  </si>
  <si>
    <t>Af Karna Maj, redaktør af Havenyt.dk, Landsforeningen Praktisk Økologi</t>
  </si>
  <si>
    <t>Asparges</t>
  </si>
  <si>
    <t>Beregning for vinplanter foretaget af Lars Holt</t>
  </si>
  <si>
    <t>Bladselleri</t>
  </si>
  <si>
    <t>Husdyrgødning har et meget varierende indhold af næringsstoffer alt efter hvilket dyr, det stammer fra.</t>
  </si>
  <si>
    <t>Blomkål</t>
  </si>
  <si>
    <t>Tabellen nedenfor viser det gennemsnitlige indhold af kvælstof, fosfor og kalium målt i procent i forskellige animalske gødninger.</t>
  </si>
  <si>
    <t>Broccoli</t>
  </si>
  <si>
    <t>Tallene skal tages med stort forbehold, da både mængden af strøelse i møget og arten af strøelse kan ændre afgørende på det proventvise indhold af mineraler.</t>
  </si>
  <si>
    <t>Grønkål</t>
  </si>
  <si>
    <t>Gulerod</t>
  </si>
  <si>
    <t>Tabel1: Indhold af næringsstoffer (%) i forskellige slags husdyrgødning</t>
  </si>
  <si>
    <t>Hvidkål</t>
  </si>
  <si>
    <t>indtast afgrøde herunder:</t>
  </si>
  <si>
    <t>bedstørrelse:</t>
  </si>
  <si>
    <t>Kvælstof</t>
  </si>
  <si>
    <t>Fosfor</t>
  </si>
  <si>
    <t>Kalium</t>
  </si>
  <si>
    <t>Magnesium</t>
  </si>
  <si>
    <t>Kalk</t>
  </si>
  <si>
    <t>Kartofler</t>
  </si>
  <si>
    <t>vin</t>
  </si>
  <si>
    <t>i gram/m2:</t>
  </si>
  <si>
    <t>Kepaløg</t>
  </si>
  <si>
    <t>N%</t>
  </si>
  <si>
    <t>Blanding</t>
  </si>
  <si>
    <t>Gødningsart</t>
  </si>
  <si>
    <t>svovl</t>
  </si>
  <si>
    <t>Kg/bed</t>
  </si>
  <si>
    <t>Hvis der gødes efter kvælstof</t>
  </si>
  <si>
    <t>Kinakål</t>
  </si>
  <si>
    <t>kg/</t>
  </si>
  <si>
    <t>m2</t>
  </si>
  <si>
    <t>Kvæggødning</t>
  </si>
  <si>
    <t>Knoldselleri</t>
  </si>
  <si>
    <t>Hestegødning</t>
  </si>
  <si>
    <t>Pastinak, rodpersille</t>
  </si>
  <si>
    <t>Svinegødning</t>
  </si>
  <si>
    <t>Bladpersille</t>
  </si>
  <si>
    <t>Fåregødning</t>
  </si>
  <si>
    <t>Porre</t>
  </si>
  <si>
    <t>Fjerkræ</t>
  </si>
  <si>
    <t>Rosenkål</t>
  </si>
  <si>
    <t>Fjerkræ(tørret)</t>
  </si>
  <si>
    <t>Rødbede</t>
  </si>
  <si>
    <t>Duegødning</t>
  </si>
  <si>
    <t>Rødkål</t>
  </si>
  <si>
    <t>Kaningødning</t>
  </si>
  <si>
    <t>Salat</t>
  </si>
  <si>
    <t>Champignonmuld</t>
  </si>
  <si>
    <t>Savoy- og spidskål</t>
  </si>
  <si>
    <t>Tang</t>
  </si>
  <si>
    <t>kompost haveaffald</t>
  </si>
  <si>
    <t>Spinat</t>
  </si>
  <si>
    <t>kompost køkken</t>
  </si>
  <si>
    <t>Sukkermajs</t>
  </si>
  <si>
    <t>kommunekompost</t>
  </si>
  <si>
    <t>Ærter</t>
  </si>
  <si>
    <t>kommunekompost 2020 Næstved</t>
  </si>
  <si>
    <t>kommunekompost 2015 Næstved</t>
  </si>
  <si>
    <t>kommunekompost 2015 Skælskør</t>
  </si>
  <si>
    <t>middel kommunekompost</t>
  </si>
  <si>
    <t>træaske</t>
  </si>
  <si>
    <t>Halm, hvede</t>
  </si>
  <si>
    <t>Halm, byg</t>
  </si>
  <si>
    <t>1 trillebør indeholder 40 kg kompost</t>
  </si>
  <si>
    <t>sum</t>
  </si>
  <si>
    <t>Oprindelig tabel:</t>
  </si>
  <si>
    <t>middel</t>
  </si>
  <si>
    <t>0,5–0,6</t>
  </si>
  <si>
    <t>0,1–0,3</t>
  </si>
  <si>
    <t>0,3–0,5</t>
  </si>
  <si>
    <t>Phosphor, total: 0,88 kg/ton</t>
  </si>
  <si>
    <t>0,6–0,7</t>
  </si>
  <si>
    <t>0,3–0,6</t>
  </si>
  <si>
    <t>0,4–0,6</t>
  </si>
  <si>
    <t>Kalium, total: 3,43 kg/ton</t>
  </si>
  <si>
    <t>Magnesium, total: 1,29 kg/ton</t>
  </si>
  <si>
    <t>Svovl, total: 1,26 kg/ton</t>
  </si>
  <si>
    <t>1,2–1,5</t>
  </si>
  <si>
    <t>0,5–0,7</t>
  </si>
  <si>
    <t>Ved en produktion pr. ha på 4 t halm, som nedmuldes, vil indholdet af plantenæringsstoffer pr. ha, afhængigt af kornarten, være 15-30 kg kvælstof, 1,5-3 kg fosfor og 15-30 kg kalium samt calcium, magnesium og andre næringsstoffer i mindre mængder.</t>
  </si>
  <si>
    <t>15-30 kg kvælstof, 1,5-3 kg fosfor og 15-30 kg kalium samt calcium, magnesium og andre næringsstoffer i mindre mængder.</t>
  </si>
  <si>
    <t>Brug af dyremøg som gødning til jorden</t>
  </si>
  <si>
    <t>Når man tilfører gødningen til jorden, kan en stor mængde af visne plantedele på eller i jorden, samt mængden og arten af strøelsen i møget indvirke på omsætningen af møget og dermed på den hastighed, som mineralerne frigives med til gavn for planterne. Er der f.eks. rigtig meget halm i hestemøget, og er gødningen uomsat, kan alt kvælstoffet blive midlertidig bundet i nedbrydningsprocessen af halmen, og planterne kan komme til at mangle kvælstof.</t>
  </si>
  <si>
    <t>De fleste planterødder tåler ikke kontakt med frisk dyregødning, hvorfor det ikke bør tilføres jorden i foråret. Tilførsel af frisk dyregødning sker bedst som en del af vinterdækket af køkkenhaven. Kartofler tåler dog nogenlunde frisk gødning. Der bør heller ikke lægges frisk gødning tæt ind til planternes stængler og blade, da det kan give svidninger. Lugten af frisk gødning kan desuden tiltrække en række skadedyr.</t>
  </si>
  <si>
    <t>Send dyregødningen gennem kompostbunken</t>
  </si>
  <si>
    <t>I betragtning af disse vanskeligheder ved at betragte møget som gødning, kan der være sund fornuft i at sende det en tur gennem kompostbunken, hvor det blandes med det øvrige kompostmateriale. Under omsætningen af komposten vil møgets mineraler blive indarbejdet i levende organismer og i den færdige kompostmasse.</t>
  </si>
  <si>
    <t>Fjerkrægødning, duegødning og kaningødning er så »stærke« gødninger, at de normalt ikke bør bruges direkte på jorden. Hvis man vil bruge det direkte, er det bedst som en mindre del af vinterdækket af bedene.</t>
  </si>
  <si>
    <t>Tabel 3: Indhold af kg kvælstof pr. ton gødning</t>
  </si>
  <si>
    <t>Kvælstof kg/ton gødning</t>
  </si>
  <si>
    <t>Kompost – haveaffald</t>
  </si>
  <si>
    <t>Kompost – husholdningsaffald</t>
  </si>
  <si>
    <t>12–17</t>
  </si>
  <si>
    <t>Fast gødning – kvæg</t>
  </si>
  <si>
    <t>Fast gødning – so med grise</t>
  </si>
  <si>
    <t>Fast gødning – slagtefjerkræ</t>
  </si>
  <si>
    <t>Fast gødning – heste</t>
  </si>
  <si>
    <t>Fast gødning – får</t>
  </si>
  <si>
    <t>Ajle – kvæg</t>
  </si>
  <si>
    <t>Tabel 2: Norm for kvælstof til bær, nødder og frugt – g/10 m²</t>
  </si>
  <si>
    <t>Totalmængder pr. år uden fradrag for eftervirkning af husdyrgødning og anden organisk gødning.</t>
  </si>
  <si>
    <t>Jordbær</t>
  </si>
  <si>
    <t>Kirsebær</t>
  </si>
  <si>
    <t>Solbær, ribs</t>
  </si>
  <si>
    <t>Pærer</t>
  </si>
  <si>
    <t>Hindbær</t>
  </si>
  <si>
    <t>Æbler</t>
  </si>
  <si>
    <t>Hassel</t>
  </si>
  <si>
    <t>Blommer</t>
  </si>
  <si>
    <t>Kilde: Plantedirektoratets »Vejledning og skemaer 2000/01«. Heri findes også normer for fosfor og kalium for de enkelte afgrøder.</t>
  </si>
  <si>
    <t>Et regneeksempel på gødningsforbrug</t>
  </si>
  <si>
    <t>I tabel 1 kan man aflæse, at der til kartofler på sandjord kan tilføres 146 g kvælstof til 10 m².</t>
  </si>
  <si>
    <t>I kvæggødning uden for megen halm er der jvf. tabel 3 5,1 kg N per tons gødning – svarende til 5,1 g N pr. kg kvæggødning. Det simple regnestykke er at dividere 146 med 5,1. Resultatet bliver 28,6 kg kvæggødning til et kartoffelstykke på 10 m².</t>
  </si>
  <si>
    <t>I praksis frigives der ikke denne mængde kvælstof i det år, man tilfører gødningen. Derfor skal mængden være større, hvis det er første år, man bruger husdyrgødning. Snarere 40 kg pr. 10 m².</t>
  </si>
  <si>
    <t>Tabel 1: Norm for kvælstof til grønsager– g/10 m²</t>
  </si>
  <si>
    <t>kvælstof</t>
  </si>
  <si>
    <t>Sandjord</t>
  </si>
  <si>
    <t>Ca</t>
  </si>
  <si>
    <t>Mg</t>
  </si>
  <si>
    <t>Hestebønne</t>
  </si>
  <si>
    <t>Melon</t>
  </si>
  <si>
    <t>Peber</t>
  </si>
  <si>
    <t>squash</t>
  </si>
  <si>
    <t>Tomat</t>
  </si>
  <si>
    <t>Kompost fra kommunens genbrugsplads lavet af haveaffald:</t>
  </si>
  <si>
    <t>Kilde: VildMedHave.dk © 2010</t>
  </si>
  <si>
    <t>Sigtet på 15mm sold - pH: 7,7</t>
  </si>
  <si>
    <t>Kvælstof indhold, total: 5,3 kg/ton</t>
  </si>
  <si>
    <t>Kvælstof, tilgængeligt 1. år: 0,53 kg/ton</t>
  </si>
  <si>
    <t>Analyse af Champost:</t>
  </si>
  <si>
    <t>Kvælstof, vandopløselig N</t>
  </si>
  <si>
    <t>0,13 g/l</t>
  </si>
  <si>
    <t>Ledningsværdi</t>
  </si>
  <si>
    <t>23 10ms/cm</t>
  </si>
  <si>
    <t>Aske</t>
  </si>
  <si>
    <t>41,8 % i ts</t>
  </si>
  <si>
    <t>pH</t>
  </si>
  <si>
    <t>7,7 pH</t>
  </si>
  <si>
    <t>Tørstof</t>
  </si>
  <si>
    <t>Glødetab på tørstof</t>
  </si>
  <si>
    <t>Kvælstof, total</t>
  </si>
  <si>
    <t>1,6 g/l</t>
  </si>
  <si>
    <t>Phosphor, total</t>
  </si>
  <si>
    <t>&lt; 0,30 g/l</t>
  </si>
  <si>
    <t>Rumvægt</t>
  </si>
  <si>
    <r>
      <t>0,28 g/cm</t>
    </r>
    <r>
      <rPr>
        <vertAlign val="superscript"/>
        <sz val="12"/>
        <rFont val="Arial"/>
        <family val="2"/>
      </rPr>
      <t>3</t>
    </r>
  </si>
  <si>
    <t>Kalium, vandopløselig (K)</t>
  </si>
  <si>
    <t>1,4 g/l</t>
  </si>
  <si>
    <r>
      <t xml:space="preserve">Analysen er foretaget af firmaet </t>
    </r>
    <r>
      <rPr>
        <b/>
        <sz val="12"/>
        <rFont val="Arial"/>
        <family val="2"/>
      </rPr>
      <t>Eurofins</t>
    </r>
    <r>
      <rPr>
        <sz val="12"/>
        <rFont val="Arial"/>
        <family val="2"/>
      </rPr>
      <t>, Viborg.</t>
    </r>
  </si>
  <si>
    <t>desuden yacón og jordskokke</t>
  </si>
  <si>
    <t>løgfamilien og skærmblomst</t>
  </si>
  <si>
    <t>hvidløg, løg, porre, gulerod</t>
  </si>
  <si>
    <t>honningurt, boghvede og oliehør</t>
  </si>
  <si>
    <t>natskygge</t>
  </si>
  <si>
    <t>kartofler m hestebønner</t>
  </si>
  <si>
    <t>Solsikke, morgenfrue og tagetes</t>
  </si>
  <si>
    <t>Korsblomst</t>
  </si>
  <si>
    <t>diverse kål</t>
  </si>
  <si>
    <t>olieræddike, raps, sennep</t>
  </si>
  <si>
    <t>græsfamilien</t>
  </si>
  <si>
    <t>majs og New Zealandsk spinat</t>
  </si>
  <si>
    <t>korn</t>
  </si>
  <si>
    <t>græskar</t>
  </si>
  <si>
    <t>squash og græskar</t>
  </si>
  <si>
    <t>ærteblomst</t>
  </si>
  <si>
    <t>ærter og bønner</t>
  </si>
  <si>
    <t>hestebønne, humlesneglebælg, lupin og hvidkløver</t>
  </si>
  <si>
    <t>(rettet fra 2,1 i 2014)</t>
  </si>
  <si>
    <t>Brix</t>
  </si>
  <si>
    <t>Oechle</t>
  </si>
  <si>
    <t>Omsætning fra Brix til Oechle</t>
  </si>
  <si>
    <t>Indtast din brixværdi ud for den linie, hvor heltallet passer</t>
  </si>
  <si>
    <t>Omsætningen mellem Brix og Oechle er ikke lineær</t>
  </si>
  <si>
    <t>din brix</t>
  </si>
  <si>
    <t>Revideret 5. december 2021, Lars Holt</t>
  </si>
  <si>
    <r>
      <rPr>
        <b/>
        <sz val="8"/>
        <rFont val="Calibri"/>
        <family val="2"/>
        <scheme val="minor"/>
      </rPr>
      <t>H</t>
    </r>
    <r>
      <rPr>
        <sz val="8"/>
        <rFont val="Calibri"/>
        <family val="2"/>
        <scheme val="minor"/>
      </rPr>
      <t>obby/</t>
    </r>
    <r>
      <rPr>
        <b/>
        <sz val="8"/>
        <rFont val="Calibri"/>
        <family val="2"/>
        <scheme val="minor"/>
      </rPr>
      <t>E</t>
    </r>
    <r>
      <rPr>
        <sz val="8"/>
        <rFont val="Calibri"/>
        <family val="2"/>
        <scheme val="minor"/>
      </rPr>
      <t>rhverv</t>
    </r>
  </si>
  <si>
    <t>Villaris</t>
  </si>
  <si>
    <t>Høstskema 2024</t>
  </si>
  <si>
    <t>kommunekompost 2023 Næstved</t>
  </si>
  <si>
    <t>vin under etablering</t>
  </si>
  <si>
    <t>Sendes til collinpreben@msn.com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</si>
</sst>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5" x14ac:knownFonts="1">
    <font>
      <sz val="11"/>
      <color theme="1"/>
      <name val="Calibri"/>
      <family val="2"/>
      <scheme val="minor"/>
    </font>
    <font>
      <sz val="12"/>
      <name val="Arial"/>
      <family val="2"/>
    </font>
    <font>
      <sz val="10"/>
      <name val="Arial"/>
      <family val="2"/>
    </font>
    <font>
      <sz val="16"/>
      <name val="Arial"/>
      <family val="2"/>
    </font>
    <font>
      <b/>
      <sz val="12"/>
      <name val="Arial"/>
      <family val="2"/>
    </font>
    <font>
      <sz val="9"/>
      <name val="Calibri"/>
      <family val="2"/>
    </font>
    <font>
      <sz val="8"/>
      <name val="Calibri"/>
      <family val="2"/>
      <scheme val="minor"/>
    </font>
    <font>
      <b/>
      <sz val="12"/>
      <color theme="0"/>
      <name val="Arial"/>
      <family val="2"/>
    </font>
    <font>
      <sz val="12"/>
      <color theme="0"/>
      <name val="Arial"/>
      <family val="2"/>
    </font>
    <font>
      <b/>
      <sz val="12"/>
      <color rgb="FFFFFF99"/>
      <name val="Arial"/>
      <family val="2"/>
    </font>
    <font>
      <sz val="12"/>
      <color rgb="FFFFFF99"/>
      <name val="Arial"/>
      <family val="2"/>
    </font>
    <font>
      <sz val="12"/>
      <color theme="0" tint="-0.499984740745262"/>
      <name val="Arial"/>
      <family val="2"/>
    </font>
    <font>
      <sz val="12"/>
      <color rgb="FF00B050"/>
      <name val="Arial"/>
      <family val="2"/>
    </font>
    <font>
      <b/>
      <sz val="8"/>
      <name val="Calibri"/>
      <family val="2"/>
      <scheme val="minor"/>
    </font>
    <font>
      <sz val="18"/>
      <name val="Calibri"/>
      <family val="2"/>
      <scheme val="minor"/>
    </font>
    <font>
      <sz val="12"/>
      <name val="Calibri"/>
      <family val="2"/>
      <scheme val="minor"/>
    </font>
    <font>
      <sz val="12"/>
      <color rgb="FF0070C0"/>
      <name val="Calibri"/>
      <family val="2"/>
      <scheme val="minor"/>
    </font>
    <font>
      <sz val="10"/>
      <name val="Calibri"/>
      <family val="2"/>
      <scheme val="minor"/>
    </font>
    <font>
      <sz val="16"/>
      <name val="Calibri"/>
      <family val="2"/>
      <scheme val="minor"/>
    </font>
    <font>
      <sz val="10"/>
      <color rgb="FF0070C0"/>
      <name val="Calibri"/>
      <family val="2"/>
      <scheme val="minor"/>
    </font>
    <font>
      <sz val="11"/>
      <color rgb="FF000000"/>
      <name val="Calibri"/>
      <family val="2"/>
      <scheme val="minor"/>
    </font>
    <font>
      <sz val="8"/>
      <color rgb="FF000000"/>
      <name val="Calibri"/>
      <family val="2"/>
      <scheme val="minor"/>
    </font>
    <font>
      <sz val="14"/>
      <name val="Calibri"/>
      <family val="2"/>
      <scheme val="minor"/>
    </font>
    <font>
      <vertAlign val="superscript"/>
      <sz val="8"/>
      <name val="Calibri"/>
      <family val="2"/>
      <scheme val="minor"/>
    </font>
    <font>
      <b/>
      <sz val="11"/>
      <color theme="1"/>
      <name val="Calibri"/>
      <family val="2"/>
      <scheme val="minor"/>
    </font>
    <font>
      <b/>
      <sz val="24"/>
      <color theme="1"/>
      <name val="Calibri"/>
      <family val="2"/>
      <scheme val="minor"/>
    </font>
    <font>
      <sz val="12"/>
      <color theme="1" tint="4.9989318521683403E-2"/>
      <name val="Arial"/>
      <family val="2"/>
    </font>
    <font>
      <sz val="12"/>
      <color rgb="FFC00000"/>
      <name val="Arial"/>
      <family val="2"/>
    </font>
    <font>
      <sz val="12"/>
      <color rgb="FFC00000"/>
      <name val="Calibri"/>
      <family val="2"/>
      <scheme val="minor"/>
    </font>
    <font>
      <b/>
      <sz val="18"/>
      <color theme="1"/>
      <name val="Calibri"/>
      <family val="2"/>
      <scheme val="minor"/>
    </font>
    <font>
      <sz val="14"/>
      <color theme="1"/>
      <name val="Calibri"/>
      <family val="2"/>
      <scheme val="minor"/>
    </font>
    <font>
      <b/>
      <sz val="12"/>
      <color theme="3" tint="-0.499984740745262"/>
      <name val="Arial"/>
      <family val="2"/>
    </font>
    <font>
      <b/>
      <sz val="11"/>
      <color rgb="FFC00000"/>
      <name val="Calibri"/>
      <family val="2"/>
      <scheme val="minor"/>
    </font>
    <font>
      <b/>
      <sz val="11"/>
      <color theme="6" tint="-0.249977111117893"/>
      <name val="Calibri"/>
      <family val="2"/>
      <scheme val="minor"/>
    </font>
    <font>
      <sz val="11"/>
      <color rgb="FFC00000"/>
      <name val="Calibri"/>
      <family val="2"/>
      <scheme val="minor"/>
    </font>
    <font>
      <sz val="10"/>
      <color rgb="FFC00000"/>
      <name val="Calibri"/>
      <family val="2"/>
      <scheme val="minor"/>
    </font>
    <font>
      <sz val="11"/>
      <color theme="6" tint="-0.249977111117893"/>
      <name val="Calibri"/>
      <family val="2"/>
      <scheme val="minor"/>
    </font>
    <font>
      <b/>
      <sz val="12"/>
      <color rgb="FFC00000"/>
      <name val="Arial"/>
      <family val="2"/>
    </font>
    <font>
      <sz val="8"/>
      <color theme="6" tint="-0.249977111117893"/>
      <name val="Calibri"/>
      <family val="2"/>
      <scheme val="minor"/>
    </font>
    <font>
      <sz val="12"/>
      <color theme="9" tint="-0.249977111117893"/>
      <name val="Arial"/>
      <family val="2"/>
    </font>
    <font>
      <sz val="11"/>
      <color theme="0" tint="-0.499984740745262"/>
      <name val="Calibri"/>
      <family val="2"/>
      <scheme val="minor"/>
    </font>
    <font>
      <sz val="8"/>
      <color theme="0" tint="-0.499984740745262"/>
      <name val="Calibri"/>
      <family val="2"/>
      <scheme val="minor"/>
    </font>
    <font>
      <sz val="8"/>
      <color rgb="FF606060"/>
      <name val="Verdana"/>
      <family val="2"/>
    </font>
    <font>
      <sz val="10"/>
      <color rgb="FF333333"/>
      <name val="Verdana"/>
      <family val="2"/>
    </font>
    <font>
      <b/>
      <sz val="13.5"/>
      <color theme="1"/>
      <name val="Calibri"/>
      <family val="2"/>
      <scheme val="minor"/>
    </font>
    <font>
      <b/>
      <sz val="13.5"/>
      <name val="Arial"/>
      <family val="2"/>
    </font>
    <font>
      <u/>
      <sz val="8"/>
      <color rgb="FF606060"/>
      <name val="Verdana"/>
      <family val="2"/>
    </font>
    <font>
      <sz val="8"/>
      <color rgb="FF000000"/>
      <name val="Verdana"/>
      <family val="2"/>
    </font>
    <font>
      <b/>
      <sz val="18"/>
      <name val="Arial"/>
      <family val="2"/>
    </font>
    <font>
      <vertAlign val="superscript"/>
      <sz val="12"/>
      <name val="Arial"/>
      <family val="2"/>
    </font>
    <font>
      <sz val="11"/>
      <name val="Arial"/>
      <family val="2"/>
    </font>
    <font>
      <b/>
      <sz val="14"/>
      <name val="Arial"/>
      <family val="2"/>
    </font>
    <font>
      <sz val="12"/>
      <color theme="0" tint="-4.9989318521683403E-2"/>
      <name val="Arial"/>
      <family val="2"/>
    </font>
    <font>
      <sz val="12"/>
      <color theme="5"/>
      <name val="Arial"/>
      <family val="2"/>
    </font>
    <font>
      <sz val="11"/>
      <color rgb="FFFF0000"/>
      <name val="Calibri"/>
      <family val="2"/>
      <scheme val="minor"/>
    </font>
  </fonts>
  <fills count="19">
    <fill>
      <patternFill patternType="none"/>
    </fill>
    <fill>
      <patternFill patternType="gray125"/>
    </fill>
    <fill>
      <patternFill patternType="solid">
        <fgColor theme="9" tint="0.59999389629810485"/>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theme="3" tint="-0.49998474074526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5" tint="-0.499984740745262"/>
      </left>
      <right style="thick">
        <color theme="5" tint="-0.499984740745262"/>
      </right>
      <top style="thick">
        <color theme="5" tint="-0.499984740745262"/>
      </top>
      <bottom style="thick">
        <color theme="5" tint="-0.499984740745262"/>
      </bottom>
      <diagonal/>
    </border>
    <border>
      <left/>
      <right/>
      <top style="medium">
        <color rgb="FFC00000"/>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right/>
      <top style="thin">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medium">
        <color rgb="FFC00000"/>
      </right>
      <top style="medium">
        <color rgb="FFC00000"/>
      </top>
      <bottom style="medium">
        <color rgb="FFC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72">
    <xf numFmtId="0" fontId="0" fillId="0" borderId="0" xfId="0"/>
    <xf numFmtId="0" fontId="1" fillId="0" borderId="0" xfId="0" applyFont="1" applyAlignment="1">
      <alignment horizontal="center"/>
    </xf>
    <xf numFmtId="0" fontId="1" fillId="0" borderId="0" xfId="0" applyFont="1"/>
    <xf numFmtId="9" fontId="1" fillId="0" borderId="0" xfId="0" applyNumberFormat="1" applyFont="1"/>
    <xf numFmtId="164" fontId="1" fillId="0" borderId="0" xfId="0" applyNumberFormat="1" applyFont="1"/>
    <xf numFmtId="0" fontId="2" fillId="0" borderId="0" xfId="0" applyFont="1"/>
    <xf numFmtId="0" fontId="6" fillId="2" borderId="0" xfId="0" applyFont="1" applyFill="1" applyAlignment="1">
      <alignment horizontal="center"/>
    </xf>
    <xf numFmtId="0" fontId="7" fillId="3" borderId="0" xfId="0" applyFont="1" applyFill="1"/>
    <xf numFmtId="0" fontId="8" fillId="3" borderId="0" xfId="0" applyFont="1" applyFill="1"/>
    <xf numFmtId="0" fontId="8" fillId="0" borderId="0" xfId="0" applyFont="1"/>
    <xf numFmtId="0" fontId="1" fillId="4" borderId="0" xfId="0" applyFont="1" applyFill="1"/>
    <xf numFmtId="2" fontId="7" fillId="3" borderId="0" xfId="0" applyNumberFormat="1" applyFont="1" applyFill="1"/>
    <xf numFmtId="10" fontId="1" fillId="0" borderId="0" xfId="0" applyNumberFormat="1" applyFont="1"/>
    <xf numFmtId="165" fontId="1" fillId="0" borderId="0" xfId="0" applyNumberFormat="1" applyFont="1"/>
    <xf numFmtId="3" fontId="1" fillId="0" borderId="0" xfId="0" applyNumberFormat="1" applyFont="1"/>
    <xf numFmtId="3" fontId="4" fillId="0" borderId="0" xfId="0" applyNumberFormat="1" applyFont="1"/>
    <xf numFmtId="0" fontId="7" fillId="5" borderId="0" xfId="0" applyFont="1" applyFill="1"/>
    <xf numFmtId="0" fontId="1" fillId="5" borderId="0" xfId="0" applyFont="1" applyFill="1"/>
    <xf numFmtId="166" fontId="9" fillId="6" borderId="0" xfId="0" applyNumberFormat="1" applyFont="1" applyFill="1"/>
    <xf numFmtId="164" fontId="9" fillId="6" borderId="0" xfId="0" applyNumberFormat="1" applyFont="1" applyFill="1"/>
    <xf numFmtId="3" fontId="9" fillId="6" borderId="0" xfId="0" applyNumberFormat="1" applyFont="1" applyFill="1"/>
    <xf numFmtId="0" fontId="1" fillId="6" borderId="0" xfId="0" applyFont="1" applyFill="1"/>
    <xf numFmtId="9" fontId="10" fillId="5" borderId="0" xfId="0" applyNumberFormat="1" applyFont="1" applyFill="1"/>
    <xf numFmtId="164" fontId="10" fillId="5" borderId="0" xfId="0" applyNumberFormat="1" applyFont="1" applyFill="1"/>
    <xf numFmtId="10" fontId="10" fillId="5" borderId="0" xfId="0" applyNumberFormat="1" applyFont="1" applyFill="1"/>
    <xf numFmtId="165" fontId="10" fillId="5" borderId="0" xfId="0" applyNumberFormat="1" applyFont="1" applyFill="1"/>
    <xf numFmtId="3" fontId="10" fillId="5" borderId="0" xfId="0" applyNumberFormat="1" applyFont="1" applyFill="1"/>
    <xf numFmtId="3" fontId="9" fillId="5" borderId="0" xfId="0" applyNumberFormat="1" applyFont="1" applyFill="1"/>
    <xf numFmtId="3" fontId="7" fillId="5" borderId="0" xfId="0" applyNumberFormat="1" applyFont="1" applyFill="1"/>
    <xf numFmtId="0" fontId="10" fillId="5" borderId="0" xfId="0" applyFont="1" applyFill="1"/>
    <xf numFmtId="9" fontId="8" fillId="5" borderId="0" xfId="0" applyNumberFormat="1" applyFont="1" applyFill="1"/>
    <xf numFmtId="164" fontId="8" fillId="5" borderId="0" xfId="0" applyNumberFormat="1" applyFont="1" applyFill="1"/>
    <xf numFmtId="10" fontId="8" fillId="5" borderId="0" xfId="0" applyNumberFormat="1" applyFont="1" applyFill="1"/>
    <xf numFmtId="165" fontId="8" fillId="5" borderId="0" xfId="0" applyNumberFormat="1" applyFont="1" applyFill="1"/>
    <xf numFmtId="3" fontId="8" fillId="5" borderId="0" xfId="0" applyNumberFormat="1" applyFont="1" applyFill="1"/>
    <xf numFmtId="0" fontId="11" fillId="0" borderId="0" xfId="0" applyFont="1"/>
    <xf numFmtId="0" fontId="12" fillId="0" borderId="0" xfId="0" applyFont="1"/>
    <xf numFmtId="0" fontId="1" fillId="0" borderId="0" xfId="0" applyFont="1" applyAlignment="1">
      <alignment horizontal="right"/>
    </xf>
    <xf numFmtId="164" fontId="7" fillId="3" borderId="0" xfId="0" applyNumberFormat="1" applyFont="1" applyFill="1"/>
    <xf numFmtId="2" fontId="4" fillId="0" borderId="0" xfId="0" applyNumberFormat="1" applyFont="1"/>
    <xf numFmtId="0" fontId="4" fillId="0" borderId="0" xfId="0" applyFont="1"/>
    <xf numFmtId="1" fontId="4" fillId="0" borderId="0" xfId="0" applyNumberFormat="1" applyFont="1"/>
    <xf numFmtId="2" fontId="12" fillId="0" borderId="0" xfId="0" applyNumberFormat="1" applyFont="1"/>
    <xf numFmtId="2" fontId="1" fillId="7" borderId="0" xfId="0" applyNumberFormat="1" applyFont="1" applyFill="1"/>
    <xf numFmtId="0" fontId="1" fillId="7" borderId="0" xfId="0" applyFont="1" applyFill="1"/>
    <xf numFmtId="1" fontId="1" fillId="7" borderId="0" xfId="0" applyNumberFormat="1" applyFont="1" applyFill="1"/>
    <xf numFmtId="0" fontId="1" fillId="4" borderId="0" xfId="0" applyFont="1" applyFill="1" applyAlignment="1">
      <alignment horizontal="center"/>
    </xf>
    <xf numFmtId="0" fontId="6" fillId="0" borderId="0" xfId="0" applyFont="1"/>
    <xf numFmtId="0" fontId="6" fillId="0" borderId="0" xfId="0" applyFont="1" applyAlignment="1">
      <alignment horizontal="left"/>
    </xf>
    <xf numFmtId="0" fontId="13" fillId="0" borderId="0" xfId="0" applyFont="1" applyAlignment="1">
      <alignment horizontal="left" wrapText="1"/>
    </xf>
    <xf numFmtId="0" fontId="14" fillId="0" borderId="0" xfId="0" applyFont="1"/>
    <xf numFmtId="0" fontId="14" fillId="0" borderId="0" xfId="0" applyFont="1" applyAlignment="1">
      <alignment horizontal="left"/>
    </xf>
    <xf numFmtId="0" fontId="15" fillId="0" borderId="0" xfId="0" applyFont="1" applyAlignment="1">
      <alignment horizontal="center"/>
    </xf>
    <xf numFmtId="0" fontId="16" fillId="0" borderId="0" xfId="0" applyFont="1"/>
    <xf numFmtId="9" fontId="15" fillId="0" borderId="0" xfId="0" applyNumberFormat="1" applyFont="1"/>
    <xf numFmtId="0" fontId="15" fillId="0" borderId="0" xfId="0" applyFont="1"/>
    <xf numFmtId="16" fontId="17" fillId="0" borderId="0" xfId="0" applyNumberFormat="1" applyFont="1"/>
    <xf numFmtId="0" fontId="15" fillId="0" borderId="1" xfId="0" applyFont="1" applyBorder="1" applyAlignment="1">
      <alignment horizontal="center"/>
    </xf>
    <xf numFmtId="0" fontId="19" fillId="0" borderId="1" xfId="0" applyFont="1" applyBorder="1"/>
    <xf numFmtId="9" fontId="15" fillId="0" borderId="1" xfId="0" applyNumberFormat="1" applyFont="1" applyBorder="1"/>
    <xf numFmtId="0" fontId="15" fillId="0" borderId="1" xfId="0" applyFont="1" applyBorder="1"/>
    <xf numFmtId="0" fontId="15" fillId="0" borderId="0" xfId="0" applyFont="1" applyAlignment="1">
      <alignment horizontal="left"/>
    </xf>
    <xf numFmtId="1" fontId="15" fillId="0" borderId="0" xfId="0" applyNumberFormat="1" applyFont="1" applyAlignment="1">
      <alignment horizontal="center"/>
    </xf>
    <xf numFmtId="0" fontId="15" fillId="0" borderId="2" xfId="0" applyFont="1" applyBorder="1"/>
    <xf numFmtId="0" fontId="17" fillId="0" borderId="0" xfId="0" applyFont="1"/>
    <xf numFmtId="0" fontId="15" fillId="0" borderId="0" xfId="0" applyFont="1" applyAlignment="1">
      <alignment horizontal="centerContinuous"/>
    </xf>
    <xf numFmtId="16" fontId="17" fillId="0" borderId="0" xfId="0" applyNumberFormat="1" applyFont="1" applyAlignment="1">
      <alignment horizontal="centerContinuous"/>
    </xf>
    <xf numFmtId="0" fontId="6" fillId="0" borderId="0" xfId="0" applyFont="1" applyAlignment="1">
      <alignment wrapText="1"/>
    </xf>
    <xf numFmtId="0" fontId="6" fillId="9" borderId="0" xfId="0" applyFont="1" applyFill="1" applyAlignment="1">
      <alignment textRotation="90" wrapText="1"/>
    </xf>
    <xf numFmtId="0" fontId="6" fillId="10" borderId="0" xfId="0" applyFont="1" applyFill="1" applyAlignment="1">
      <alignment textRotation="90" wrapText="1"/>
    </xf>
    <xf numFmtId="0" fontId="6" fillId="11" borderId="0" xfId="0" applyFont="1" applyFill="1" applyAlignment="1">
      <alignment horizontal="center" textRotation="90" wrapText="1"/>
    </xf>
    <xf numFmtId="0" fontId="6" fillId="12" borderId="0" xfId="0" applyFont="1" applyFill="1" applyAlignment="1">
      <alignment horizontal="center" textRotation="90" wrapText="1"/>
    </xf>
    <xf numFmtId="0" fontId="6" fillId="10" borderId="0" xfId="0" applyFont="1" applyFill="1" applyAlignment="1">
      <alignment horizontal="center" textRotation="90" wrapText="1"/>
    </xf>
    <xf numFmtId="0" fontId="6" fillId="0" borderId="0" xfId="0" applyFont="1" applyAlignment="1">
      <alignment horizontal="center" textRotation="90" wrapText="1"/>
    </xf>
    <xf numFmtId="9" fontId="6" fillId="0" borderId="0" xfId="0" applyNumberFormat="1" applyFont="1" applyAlignment="1">
      <alignment horizontal="center" textRotation="90" wrapText="1"/>
    </xf>
    <xf numFmtId="0" fontId="6" fillId="13" borderId="0" xfId="0" applyFont="1" applyFill="1" applyAlignment="1">
      <alignment wrapText="1"/>
    </xf>
    <xf numFmtId="0" fontId="6" fillId="14" borderId="0" xfId="0" applyFont="1" applyFill="1" applyAlignment="1">
      <alignment horizontal="center" wrapText="1"/>
    </xf>
    <xf numFmtId="16" fontId="6" fillId="0" borderId="0" xfId="0" applyNumberFormat="1" applyFont="1" applyAlignment="1">
      <alignment wrapText="1"/>
    </xf>
    <xf numFmtId="16" fontId="6" fillId="15" borderId="0" xfId="0" applyNumberFormat="1" applyFont="1" applyFill="1" applyAlignment="1">
      <alignment wrapText="1"/>
    </xf>
    <xf numFmtId="0" fontId="6" fillId="2" borderId="0" xfId="0" applyFont="1" applyFill="1" applyAlignment="1">
      <alignment wrapText="1"/>
    </xf>
    <xf numFmtId="0" fontId="6" fillId="0" borderId="0" xfId="0" applyFont="1" applyAlignment="1">
      <alignment textRotation="90" wrapText="1"/>
    </xf>
    <xf numFmtId="1" fontId="6" fillId="10" borderId="0" xfId="0" applyNumberFormat="1" applyFont="1" applyFill="1"/>
    <xf numFmtId="0" fontId="6" fillId="0" borderId="0" xfId="0" applyFont="1" applyAlignment="1">
      <alignment horizontal="center"/>
    </xf>
    <xf numFmtId="9" fontId="6" fillId="0" borderId="0" xfId="0" applyNumberFormat="1" applyFont="1"/>
    <xf numFmtId="1" fontId="6" fillId="13" borderId="0" xfId="0" applyNumberFormat="1" applyFont="1" applyFill="1"/>
    <xf numFmtId="1" fontId="6" fillId="2" borderId="0" xfId="0" applyNumberFormat="1" applyFont="1" applyFill="1"/>
    <xf numFmtId="2" fontId="6" fillId="2" borderId="0" xfId="0" applyNumberFormat="1" applyFont="1" applyFill="1"/>
    <xf numFmtId="16" fontId="6" fillId="0" borderId="0" xfId="0" applyNumberFormat="1" applyFont="1"/>
    <xf numFmtId="2" fontId="6" fillId="0" borderId="0" xfId="0" applyNumberFormat="1" applyFont="1"/>
    <xf numFmtId="0" fontId="15" fillId="11" borderId="0" xfId="0" applyFont="1" applyFill="1" applyAlignment="1">
      <alignment horizontal="left"/>
    </xf>
    <xf numFmtId="0" fontId="15" fillId="12" borderId="0" xfId="0" applyFont="1" applyFill="1" applyAlignment="1">
      <alignment horizontal="left"/>
    </xf>
    <xf numFmtId="0" fontId="15" fillId="12" borderId="0" xfId="0" applyFont="1" applyFill="1"/>
    <xf numFmtId="0" fontId="15" fillId="12" borderId="0" xfId="0" applyFont="1" applyFill="1" applyAlignment="1">
      <alignment horizontal="center"/>
    </xf>
    <xf numFmtId="9" fontId="15" fillId="12" borderId="0" xfId="0" applyNumberFormat="1" applyFont="1" applyFill="1"/>
    <xf numFmtId="0" fontId="20" fillId="12" borderId="0" xfId="0" applyFont="1" applyFill="1" applyAlignment="1">
      <alignment horizontal="right"/>
    </xf>
    <xf numFmtId="0" fontId="20" fillId="12" borderId="0" xfId="0" applyFont="1" applyFill="1" applyAlignment="1">
      <alignment horizontal="right" vertical="top" wrapText="1"/>
    </xf>
    <xf numFmtId="0" fontId="17" fillId="12" borderId="0" xfId="0" applyFont="1" applyFill="1" applyAlignment="1">
      <alignment horizontal="center"/>
    </xf>
    <xf numFmtId="9" fontId="17" fillId="12" borderId="0" xfId="0" applyNumberFormat="1" applyFont="1" applyFill="1" applyAlignment="1">
      <alignment horizontal="center"/>
    </xf>
    <xf numFmtId="1" fontId="17" fillId="12" borderId="0" xfId="0" applyNumberFormat="1" applyFont="1" applyFill="1" applyAlignment="1">
      <alignment horizontal="center"/>
    </xf>
    <xf numFmtId="16" fontId="17" fillId="15" borderId="0" xfId="0" applyNumberFormat="1" applyFont="1" applyFill="1"/>
    <xf numFmtId="0" fontId="15" fillId="8" borderId="0" xfId="0" applyFont="1" applyFill="1"/>
    <xf numFmtId="0" fontId="6" fillId="14" borderId="0" xfId="0" applyFont="1" applyFill="1" applyAlignment="1">
      <alignment horizontal="center"/>
    </xf>
    <xf numFmtId="0" fontId="6" fillId="14" borderId="0" xfId="0" applyFont="1" applyFill="1" applyAlignment="1">
      <alignment horizontal="left"/>
    </xf>
    <xf numFmtId="0" fontId="17" fillId="0" borderId="0" xfId="0" applyFont="1" applyAlignment="1">
      <alignment horizontal="center"/>
    </xf>
    <xf numFmtId="16" fontId="6" fillId="14" borderId="0" xfId="0" applyNumberFormat="1" applyFont="1" applyFill="1"/>
    <xf numFmtId="0" fontId="21" fillId="12" borderId="0" xfId="0" applyFont="1" applyFill="1" applyAlignment="1">
      <alignment vertical="top" wrapText="1"/>
    </xf>
    <xf numFmtId="0" fontId="6" fillId="12" borderId="0" xfId="0" applyFont="1" applyFill="1" applyAlignment="1">
      <alignment horizontal="center" wrapText="1"/>
    </xf>
    <xf numFmtId="9" fontId="6" fillId="12" borderId="0" xfId="0" applyNumberFormat="1" applyFont="1" applyFill="1" applyAlignment="1">
      <alignment horizontal="center" wrapText="1"/>
    </xf>
    <xf numFmtId="1" fontId="6" fillId="12" borderId="0" xfId="0" applyNumberFormat="1" applyFont="1" applyFill="1" applyAlignment="1">
      <alignment horizontal="center" wrapText="1"/>
    </xf>
    <xf numFmtId="0" fontId="15" fillId="10" borderId="0" xfId="0" applyFont="1" applyFill="1" applyAlignment="1">
      <alignment horizontal="left"/>
    </xf>
    <xf numFmtId="0" fontId="15" fillId="10" borderId="0" xfId="0" applyFont="1" applyFill="1"/>
    <xf numFmtId="0" fontId="15" fillId="10" borderId="0" xfId="0" applyFont="1" applyFill="1" applyAlignment="1">
      <alignment horizontal="center"/>
    </xf>
    <xf numFmtId="9" fontId="15" fillId="10" borderId="0" xfId="0" applyNumberFormat="1" applyFont="1" applyFill="1"/>
    <xf numFmtId="0" fontId="17" fillId="10" borderId="0" xfId="0" applyFont="1" applyFill="1" applyAlignment="1">
      <alignment horizontal="left"/>
    </xf>
    <xf numFmtId="1" fontId="6" fillId="2" borderId="3" xfId="0" applyNumberFormat="1" applyFont="1" applyFill="1" applyBorder="1"/>
    <xf numFmtId="0" fontId="6" fillId="9" borderId="0" xfId="0" applyFont="1" applyFill="1"/>
    <xf numFmtId="0" fontId="15" fillId="0" borderId="5" xfId="0" applyFont="1" applyBorder="1" applyAlignment="1">
      <alignment horizontal="left"/>
    </xf>
    <xf numFmtId="0" fontId="15" fillId="0" borderId="5" xfId="0" applyFont="1" applyBorder="1"/>
    <xf numFmtId="0" fontId="15" fillId="0" borderId="5" xfId="0" applyFont="1" applyBorder="1" applyAlignment="1">
      <alignment horizontal="center"/>
    </xf>
    <xf numFmtId="9" fontId="15" fillId="0" borderId="5" xfId="0" applyNumberFormat="1" applyFont="1" applyBorder="1"/>
    <xf numFmtId="0" fontId="15" fillId="0" borderId="6" xfId="0" applyFont="1" applyBorder="1" applyAlignment="1">
      <alignment horizontal="center"/>
    </xf>
    <xf numFmtId="16" fontId="17" fillId="0" borderId="5" xfId="0" applyNumberFormat="1" applyFont="1" applyBorder="1"/>
    <xf numFmtId="0" fontId="15" fillId="0" borderId="6" xfId="0" applyFont="1" applyBorder="1"/>
    <xf numFmtId="0" fontId="18" fillId="0" borderId="4" xfId="0" applyFont="1" applyBorder="1" applyAlignment="1">
      <alignment horizontal="left"/>
    </xf>
    <xf numFmtId="0" fontId="22" fillId="0" borderId="5" xfId="0" applyFont="1" applyBorder="1"/>
    <xf numFmtId="1" fontId="17" fillId="0" borderId="8" xfId="0" applyNumberFormat="1" applyFont="1" applyBorder="1"/>
    <xf numFmtId="1" fontId="17" fillId="0" borderId="9" xfId="0" applyNumberFormat="1" applyFont="1" applyBorder="1"/>
    <xf numFmtId="0" fontId="15" fillId="8" borderId="0" xfId="0" applyFont="1" applyFill="1" applyAlignment="1">
      <alignment horizontal="center"/>
    </xf>
    <xf numFmtId="0" fontId="15" fillId="11" borderId="0" xfId="0" applyFont="1" applyFill="1" applyAlignment="1">
      <alignment horizontal="center"/>
    </xf>
    <xf numFmtId="0" fontId="15" fillId="11" borderId="0" xfId="0" applyFont="1" applyFill="1"/>
    <xf numFmtId="0" fontId="6" fillId="9" borderId="0" xfId="0" applyFont="1" applyFill="1" applyAlignment="1">
      <alignment horizontal="center" wrapText="1"/>
    </xf>
    <xf numFmtId="16" fontId="17" fillId="9" borderId="0" xfId="0" applyNumberFormat="1" applyFont="1" applyFill="1"/>
    <xf numFmtId="0" fontId="6" fillId="9" borderId="0" xfId="0" applyFont="1" applyFill="1" applyAlignment="1">
      <alignment horizontal="center"/>
    </xf>
    <xf numFmtId="16" fontId="6" fillId="9" borderId="0" xfId="0" applyNumberFormat="1" applyFont="1" applyFill="1"/>
    <xf numFmtId="0" fontId="6" fillId="9" borderId="0" xfId="0" applyFont="1" applyFill="1" applyAlignment="1">
      <alignment horizontal="left"/>
    </xf>
    <xf numFmtId="0" fontId="6" fillId="11" borderId="0" xfId="0" applyFont="1" applyFill="1" applyAlignment="1">
      <alignment horizontal="center"/>
    </xf>
    <xf numFmtId="0" fontId="6" fillId="12" borderId="0" xfId="0" applyFont="1" applyFill="1" applyAlignment="1">
      <alignment horizontal="center"/>
    </xf>
    <xf numFmtId="0" fontId="6" fillId="10" borderId="0" xfId="0" applyFont="1" applyFill="1" applyAlignment="1">
      <alignment horizontal="center"/>
    </xf>
    <xf numFmtId="0" fontId="6" fillId="15" borderId="0" xfId="0" applyFont="1" applyFill="1" applyAlignment="1">
      <alignment horizontal="center" textRotation="90" wrapText="1"/>
    </xf>
    <xf numFmtId="0" fontId="6" fillId="15" borderId="0" xfId="0" applyFont="1" applyFill="1" applyAlignment="1">
      <alignment horizontal="left"/>
    </xf>
    <xf numFmtId="0" fontId="6" fillId="15" borderId="0" xfId="0" applyFont="1" applyFill="1" applyAlignment="1">
      <alignment horizontal="left" wrapText="1"/>
    </xf>
    <xf numFmtId="0" fontId="25" fillId="0" borderId="0" xfId="0" applyFont="1"/>
    <xf numFmtId="0" fontId="0" fillId="0" borderId="0" xfId="0" applyAlignment="1">
      <alignment horizontal="center"/>
    </xf>
    <xf numFmtId="0" fontId="26" fillId="0" borderId="0" xfId="0" applyFont="1"/>
    <xf numFmtId="9" fontId="0" fillId="0" borderId="0" xfId="0" applyNumberFormat="1"/>
    <xf numFmtId="2" fontId="0" fillId="0" borderId="0" xfId="0" applyNumberFormat="1"/>
    <xf numFmtId="0" fontId="27" fillId="11" borderId="10" xfId="0" applyFont="1" applyFill="1" applyBorder="1" applyAlignment="1">
      <alignment wrapText="1"/>
    </xf>
    <xf numFmtId="0" fontId="28" fillId="0" borderId="0" xfId="0" applyFont="1"/>
    <xf numFmtId="0" fontId="29" fillId="0" borderId="0" xfId="0" applyFont="1"/>
    <xf numFmtId="0" fontId="30" fillId="0" borderId="0" xfId="0" applyFont="1"/>
    <xf numFmtId="0" fontId="1" fillId="11" borderId="0" xfId="0" applyFont="1" applyFill="1" applyAlignment="1">
      <alignment horizontal="left"/>
    </xf>
    <xf numFmtId="0" fontId="31" fillId="11" borderId="0" xfId="0" applyFont="1" applyFill="1" applyAlignment="1">
      <alignment horizontal="right"/>
    </xf>
    <xf numFmtId="0" fontId="31" fillId="11" borderId="0" xfId="0" applyFont="1" applyFill="1"/>
    <xf numFmtId="0" fontId="32" fillId="0" borderId="0" xfId="0" applyFont="1" applyAlignment="1">
      <alignment horizontal="center" vertical="center" wrapText="1"/>
    </xf>
    <xf numFmtId="0" fontId="33" fillId="0" borderId="0" xfId="0" applyFont="1" applyAlignment="1">
      <alignment horizontal="center" vertical="center" wrapText="1"/>
    </xf>
    <xf numFmtId="0" fontId="34" fillId="0" borderId="11" xfId="0" applyFont="1" applyBorder="1" applyAlignment="1">
      <alignment horizontal="left"/>
    </xf>
    <xf numFmtId="0" fontId="34" fillId="0" borderId="11" xfId="0" applyFont="1" applyBorder="1" applyAlignment="1">
      <alignment horizontal="center"/>
    </xf>
    <xf numFmtId="0" fontId="35" fillId="0" borderId="11" xfId="0" applyFont="1" applyBorder="1"/>
    <xf numFmtId="164" fontId="34" fillId="0" borderId="11" xfId="0" applyNumberFormat="1" applyFont="1" applyBorder="1"/>
    <xf numFmtId="164" fontId="34" fillId="0" borderId="0" xfId="0" applyNumberFormat="1" applyFont="1"/>
    <xf numFmtId="164" fontId="36" fillId="0" borderId="0" xfId="0" applyNumberFormat="1" applyFont="1"/>
    <xf numFmtId="0" fontId="34" fillId="0" borderId="0" xfId="0" applyFont="1"/>
    <xf numFmtId="9" fontId="34" fillId="0" borderId="0" xfId="0" applyNumberFormat="1" applyFont="1"/>
    <xf numFmtId="2" fontId="34" fillId="0" borderId="0" xfId="0" applyNumberFormat="1" applyFont="1"/>
    <xf numFmtId="0" fontId="27" fillId="0" borderId="0" xfId="0" applyFont="1" applyAlignment="1">
      <alignment wrapText="1"/>
    </xf>
    <xf numFmtId="0" fontId="34" fillId="0" borderId="0" xfId="0" applyFont="1" applyAlignment="1">
      <alignment horizontal="left"/>
    </xf>
    <xf numFmtId="0" fontId="34" fillId="0" borderId="0" xfId="0" applyFont="1" applyAlignment="1">
      <alignment horizontal="center"/>
    </xf>
    <xf numFmtId="0" fontId="35" fillId="0" borderId="0" xfId="0" applyFont="1"/>
    <xf numFmtId="1" fontId="34" fillId="0" borderId="0" xfId="0" applyNumberFormat="1" applyFont="1"/>
    <xf numFmtId="164" fontId="34" fillId="16" borderId="0" xfId="0" applyNumberFormat="1" applyFont="1" applyFill="1"/>
    <xf numFmtId="0" fontId="24" fillId="0" borderId="0" xfId="0" applyFont="1" applyAlignment="1">
      <alignment horizontal="center" vertical="center" wrapText="1"/>
    </xf>
    <xf numFmtId="0" fontId="37" fillId="0" borderId="0" xfId="0" applyFont="1"/>
    <xf numFmtId="164" fontId="34" fillId="0" borderId="0" xfId="0" applyNumberFormat="1" applyFont="1" applyAlignment="1">
      <alignment horizontal="center"/>
    </xf>
    <xf numFmtId="164" fontId="38" fillId="0" borderId="0" xfId="0" applyNumberFormat="1" applyFont="1"/>
    <xf numFmtId="0" fontId="36" fillId="0" borderId="0" xfId="0" applyFont="1"/>
    <xf numFmtId="9" fontId="39" fillId="0" borderId="0" xfId="0" applyNumberFormat="1" applyFont="1" applyAlignment="1">
      <alignment horizontal="right"/>
    </xf>
    <xf numFmtId="2" fontId="39" fillId="0" borderId="0" xfId="0" applyNumberFormat="1" applyFont="1"/>
    <xf numFmtId="0" fontId="0" fillId="0" borderId="0" xfId="0" applyAlignment="1">
      <alignment wrapText="1"/>
    </xf>
    <xf numFmtId="2" fontId="0" fillId="0" borderId="0" xfId="0" applyNumberFormat="1" applyAlignment="1">
      <alignment horizontal="center" wrapText="1"/>
    </xf>
    <xf numFmtId="2" fontId="28" fillId="0" borderId="0" xfId="0" applyNumberFormat="1" applyFont="1"/>
    <xf numFmtId="10" fontId="0" fillId="0" borderId="0" xfId="0" applyNumberFormat="1"/>
    <xf numFmtId="0" fontId="2" fillId="0" borderId="0" xfId="0" applyFont="1" applyAlignment="1">
      <alignment wrapText="1"/>
    </xf>
    <xf numFmtId="2" fontId="2" fillId="0" borderId="0" xfId="0" applyNumberFormat="1" applyFont="1" applyAlignment="1">
      <alignment horizontal="center" wrapText="1"/>
    </xf>
    <xf numFmtId="2" fontId="1" fillId="0" borderId="0" xfId="0" applyNumberFormat="1" applyFont="1" applyAlignment="1">
      <alignment horizontal="center" wrapText="1"/>
    </xf>
    <xf numFmtId="164" fontId="28" fillId="0" borderId="0" xfId="0" applyNumberFormat="1" applyFont="1"/>
    <xf numFmtId="0" fontId="1" fillId="0" borderId="0" xfId="0" applyFont="1" applyAlignment="1">
      <alignment wrapText="1"/>
    </xf>
    <xf numFmtId="2" fontId="0" fillId="0" borderId="0" xfId="0" applyNumberFormat="1" applyAlignment="1">
      <alignment horizontal="center"/>
    </xf>
    <xf numFmtId="2" fontId="0" fillId="0" borderId="3" xfId="0" applyNumberFormat="1" applyBorder="1"/>
    <xf numFmtId="0" fontId="40" fillId="0" borderId="12" xfId="0" applyFont="1" applyBorder="1" applyAlignment="1">
      <alignment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0" xfId="0" applyAlignment="1">
      <alignment horizontal="center" wrapText="1"/>
    </xf>
    <xf numFmtId="164" fontId="34" fillId="0" borderId="15" xfId="0" applyNumberFormat="1" applyFont="1" applyBorder="1"/>
    <xf numFmtId="0" fontId="41" fillId="0" borderId="16" xfId="0" applyFont="1" applyBorder="1" applyAlignment="1">
      <alignment wrapText="1"/>
    </xf>
    <xf numFmtId="0" fontId="41" fillId="0" borderId="0" xfId="0" applyFont="1" applyAlignment="1">
      <alignment horizontal="center" wrapText="1"/>
    </xf>
    <xf numFmtId="0" fontId="41" fillId="0" borderId="17" xfId="0" applyFont="1" applyBorder="1" applyAlignment="1">
      <alignment horizontal="center" wrapText="1"/>
    </xf>
    <xf numFmtId="0" fontId="42" fillId="0" borderId="0" xfId="0" applyFont="1"/>
    <xf numFmtId="0" fontId="41" fillId="0" borderId="18" xfId="0" applyFont="1" applyBorder="1" applyAlignment="1">
      <alignment wrapText="1"/>
    </xf>
    <xf numFmtId="0" fontId="41" fillId="0" borderId="19" xfId="0" applyFont="1" applyBorder="1" applyAlignment="1">
      <alignment horizontal="center" wrapText="1"/>
    </xf>
    <xf numFmtId="0" fontId="41" fillId="0" borderId="20" xfId="0" applyFont="1" applyBorder="1" applyAlignment="1">
      <alignment horizontal="center" wrapText="1"/>
    </xf>
    <xf numFmtId="0" fontId="43" fillId="0" borderId="0" xfId="0" applyFont="1"/>
    <xf numFmtId="0" fontId="44" fillId="0" borderId="0" xfId="0" applyFont="1"/>
    <xf numFmtId="0" fontId="0" fillId="11" borderId="0" xfId="0" applyFill="1"/>
    <xf numFmtId="0" fontId="29" fillId="0" borderId="0" xfId="0" applyFont="1" applyAlignment="1">
      <alignment horizontal="left" indent="4"/>
    </xf>
    <xf numFmtId="0" fontId="0" fillId="0" borderId="0" xfId="0" applyAlignment="1">
      <alignment horizontal="left" indent="4"/>
    </xf>
    <xf numFmtId="0" fontId="45" fillId="0" borderId="0" xfId="0" applyFont="1"/>
    <xf numFmtId="0" fontId="0" fillId="0" borderId="0" xfId="0" applyAlignment="1">
      <alignment horizontal="right" wrapText="1"/>
    </xf>
    <xf numFmtId="0" fontId="0" fillId="0" borderId="0" xfId="0" applyAlignment="1">
      <alignment horizontal="right"/>
    </xf>
    <xf numFmtId="0" fontId="26" fillId="0" borderId="0" xfId="0" applyFont="1" applyAlignment="1">
      <alignment horizontal="right"/>
    </xf>
    <xf numFmtId="9" fontId="0" fillId="0" borderId="0" xfId="0" applyNumberFormat="1" applyAlignment="1">
      <alignment horizontal="right"/>
    </xf>
    <xf numFmtId="2" fontId="0" fillId="0" borderId="0" xfId="0" applyNumberFormat="1" applyAlignment="1">
      <alignment horizontal="right"/>
    </xf>
    <xf numFmtId="1" fontId="2" fillId="0" borderId="0" xfId="0" applyNumberFormat="1" applyFont="1" applyAlignment="1">
      <alignment wrapText="1"/>
    </xf>
    <xf numFmtId="1" fontId="0" fillId="0" borderId="0" xfId="0" applyNumberFormat="1"/>
    <xf numFmtId="164" fontId="34" fillId="0" borderId="21" xfId="0" applyNumberFormat="1" applyFont="1" applyBorder="1"/>
    <xf numFmtId="0" fontId="26" fillId="11" borderId="0" xfId="0" applyFont="1" applyFill="1"/>
    <xf numFmtId="9" fontId="0" fillId="11" borderId="0" xfId="0" applyNumberFormat="1" applyFill="1"/>
    <xf numFmtId="2" fontId="0" fillId="11" borderId="0" xfId="0" applyNumberFormat="1" applyFill="1"/>
    <xf numFmtId="0" fontId="46" fillId="0" borderId="0" xfId="0" applyFont="1"/>
    <xf numFmtId="0" fontId="47" fillId="0" borderId="0" xfId="0" applyFont="1" applyAlignment="1">
      <alignment horizontal="left" vertical="top"/>
    </xf>
    <xf numFmtId="0" fontId="48" fillId="0" borderId="22" xfId="0" applyFont="1" applyBorder="1"/>
    <xf numFmtId="0" fontId="0" fillId="0" borderId="23" xfId="0" applyBorder="1"/>
    <xf numFmtId="0" fontId="0" fillId="0" borderId="24" xfId="0" applyBorder="1"/>
    <xf numFmtId="0" fontId="0" fillId="0" borderId="25" xfId="0" applyBorder="1"/>
    <xf numFmtId="0" fontId="0" fillId="0" borderId="26" xfId="0" applyBorder="1"/>
    <xf numFmtId="0" fontId="1" fillId="0" borderId="25" xfId="0" applyFont="1" applyBorder="1" applyAlignment="1">
      <alignment vertical="top" wrapText="1"/>
    </xf>
    <xf numFmtId="0" fontId="0" fillId="0" borderId="25" xfId="0" applyBorder="1" applyAlignment="1">
      <alignment vertical="top" wrapText="1"/>
    </xf>
    <xf numFmtId="10" fontId="1" fillId="0" borderId="25" xfId="0" applyNumberFormat="1" applyFont="1" applyBorder="1" applyAlignment="1">
      <alignment vertical="top" wrapText="1"/>
    </xf>
    <xf numFmtId="9" fontId="1" fillId="0" borderId="25" xfId="0" applyNumberFormat="1" applyFont="1" applyBorder="1" applyAlignment="1">
      <alignment vertical="top" wrapText="1"/>
    </xf>
    <xf numFmtId="0" fontId="0" fillId="0" borderId="0" xfId="0" applyAlignment="1">
      <alignment vertical="top" wrapText="1"/>
    </xf>
    <xf numFmtId="0" fontId="1" fillId="0" borderId="27" xfId="0" applyFont="1" applyBorder="1"/>
    <xf numFmtId="0" fontId="0" fillId="0" borderId="28" xfId="0" applyBorder="1"/>
    <xf numFmtId="0" fontId="0" fillId="0" borderId="29" xfId="0" applyBorder="1"/>
    <xf numFmtId="0" fontId="0" fillId="0" borderId="22" xfId="0" applyBorder="1"/>
    <xf numFmtId="0" fontId="0" fillId="11" borderId="25" xfId="0" applyFill="1" applyBorder="1"/>
    <xf numFmtId="0" fontId="0" fillId="11" borderId="27" xfId="0" applyFill="1" applyBorder="1"/>
    <xf numFmtId="0" fontId="3" fillId="0" borderId="0" xfId="0" applyFont="1"/>
    <xf numFmtId="0" fontId="50" fillId="0" borderId="0" xfId="0" applyFont="1"/>
    <xf numFmtId="0" fontId="1" fillId="17" borderId="0" xfId="0" applyFont="1" applyFill="1"/>
    <xf numFmtId="0" fontId="51" fillId="0" borderId="0" xfId="0" applyFont="1"/>
    <xf numFmtId="10" fontId="9" fillId="6" borderId="0" xfId="0" applyNumberFormat="1" applyFont="1" applyFill="1"/>
    <xf numFmtId="0" fontId="52" fillId="18" borderId="0" xfId="0" applyFont="1" applyFill="1"/>
    <xf numFmtId="0" fontId="53" fillId="0" borderId="0" xfId="0" applyFont="1"/>
    <xf numFmtId="49" fontId="14" fillId="0" borderId="0" xfId="0" applyNumberFormat="1" applyFont="1"/>
    <xf numFmtId="49" fontId="18" fillId="0" borderId="1" xfId="0" applyNumberFormat="1" applyFont="1" applyBorder="1"/>
    <xf numFmtId="49" fontId="15" fillId="0" borderId="0" xfId="0" applyNumberFormat="1" applyFont="1"/>
    <xf numFmtId="49" fontId="15" fillId="0" borderId="4" xfId="0" applyNumberFormat="1" applyFont="1" applyBorder="1"/>
    <xf numFmtId="49" fontId="6" fillId="0" borderId="0" xfId="0" applyNumberFormat="1" applyFont="1" applyAlignment="1">
      <alignment wrapText="1"/>
    </xf>
    <xf numFmtId="49" fontId="6" fillId="0" borderId="0" xfId="0" applyNumberFormat="1" applyFont="1"/>
    <xf numFmtId="49" fontId="6" fillId="0" borderId="0" xfId="0" applyNumberFormat="1" applyFont="1" applyAlignment="1">
      <alignment horizontal="left" wrapText="1"/>
    </xf>
    <xf numFmtId="2" fontId="15" fillId="0" borderId="0" xfId="0" applyNumberFormat="1" applyFont="1"/>
    <xf numFmtId="2" fontId="15" fillId="0" borderId="5" xfId="0" applyNumberFormat="1" applyFont="1" applyBorder="1"/>
    <xf numFmtId="2" fontId="6" fillId="0" borderId="0" xfId="0" applyNumberFormat="1" applyFont="1" applyAlignment="1">
      <alignment wrapText="1"/>
    </xf>
    <xf numFmtId="1" fontId="15" fillId="0" borderId="0" xfId="0" applyNumberFormat="1" applyFont="1"/>
    <xf numFmtId="1" fontId="15" fillId="0" borderId="5" xfId="0" applyNumberFormat="1" applyFont="1" applyBorder="1"/>
    <xf numFmtId="1" fontId="6" fillId="0" borderId="0" xfId="0" applyNumberFormat="1" applyFont="1" applyAlignment="1">
      <alignment wrapText="1"/>
    </xf>
    <xf numFmtId="1" fontId="6" fillId="0" borderId="0" xfId="0" applyNumberFormat="1" applyFont="1"/>
    <xf numFmtId="2" fontId="15" fillId="8" borderId="0" xfId="0" applyNumberFormat="1" applyFont="1" applyFill="1"/>
    <xf numFmtId="1" fontId="15" fillId="8" borderId="0" xfId="0" applyNumberFormat="1" applyFont="1" applyFill="1"/>
    <xf numFmtId="1" fontId="17" fillId="8" borderId="0" xfId="0" applyNumberFormat="1" applyFont="1" applyFill="1" applyAlignment="1">
      <alignment textRotation="90"/>
    </xf>
    <xf numFmtId="1" fontId="6" fillId="8" borderId="0" xfId="0" applyNumberFormat="1" applyFont="1" applyFill="1" applyAlignment="1">
      <alignment horizontal="left" textRotation="90" wrapText="1"/>
    </xf>
    <xf numFmtId="1" fontId="6" fillId="8" borderId="0" xfId="0" applyNumberFormat="1" applyFont="1" applyFill="1" applyAlignment="1">
      <alignment textRotation="90" wrapText="1"/>
    </xf>
    <xf numFmtId="1" fontId="6" fillId="8" borderId="0" xfId="0" applyNumberFormat="1" applyFont="1" applyFill="1"/>
    <xf numFmtId="2" fontId="17" fillId="0" borderId="0" xfId="0" applyNumberFormat="1" applyFont="1"/>
    <xf numFmtId="2" fontId="6" fillId="2" borderId="0" xfId="0" applyNumberFormat="1" applyFont="1" applyFill="1" applyAlignment="1">
      <alignment horizontal="center"/>
    </xf>
    <xf numFmtId="2" fontId="54" fillId="0" borderId="0" xfId="0" applyNumberFormat="1" applyFont="1" applyAlignment="1">
      <alignment horizontal="center"/>
    </xf>
    <xf numFmtId="49" fontId="17" fillId="0" borderId="7" xfId="0" applyNumberFormat="1" applyFont="1" applyBorder="1"/>
    <xf numFmtId="0" fontId="21" fillId="12" borderId="0" xfId="0" applyFont="1" applyFill="1" applyAlignment="1">
      <alignment vertical="top" wrapText="1"/>
    </xf>
    <xf numFmtId="0" fontId="6" fillId="12" borderId="0" xfId="0" applyFont="1" applyFill="1" applyAlignment="1">
      <alignment wrapText="1"/>
    </xf>
    <xf numFmtId="0" fontId="0" fillId="12" borderId="0" xfId="0" applyFill="1"/>
    <xf numFmtId="0" fontId="0" fillId="0" borderId="0" xfId="0" applyAlignment="1">
      <alignment horizontal="left" wrapText="1"/>
    </xf>
    <xf numFmtId="0" fontId="0" fillId="0" borderId="0" xfId="0" applyAlignment="1">
      <alignment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altommuld.dk/wp-content/uploads/2008/01/analyse-champost-31.jpg" TargetMode="External"/><Relationship Id="rId2" Type="http://schemas.openxmlformats.org/officeDocument/2006/relationships/image" Target="../media/image3.jpeg"/><Relationship Id="rId1" Type="http://schemas.openxmlformats.org/officeDocument/2006/relationships/hyperlink" Target="http://altommuld.dk/wp-content/uploads/2008/01/analyse-champost-21.jpg" TargetMode="External"/><Relationship Id="rId6" Type="http://schemas.openxmlformats.org/officeDocument/2006/relationships/image" Target="../media/image5.jpeg"/><Relationship Id="rId5" Type="http://schemas.openxmlformats.org/officeDocument/2006/relationships/hyperlink" Target="http://altommuld.dk/wp-content/uploads/2008/01/analyse-champost-11.jpg"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14</xdr:row>
      <xdr:rowOff>0</xdr:rowOff>
    </xdr:from>
    <xdr:to>
      <xdr:col>18</xdr:col>
      <xdr:colOff>619125</xdr:colOff>
      <xdr:row>14</xdr:row>
      <xdr:rowOff>571500</xdr:rowOff>
    </xdr:to>
    <xdr:pic>
      <xdr:nvPicPr>
        <xdr:cNvPr id="1084" name="Billede 1">
          <a:extLst>
            <a:ext uri="{FF2B5EF4-FFF2-40B4-BE49-F238E27FC236}">
              <a16:creationId xmlns:a16="http://schemas.microsoft.com/office/drawing/2014/main" id="{00000000-0008-0000-0000-00003C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91550" y="3543300"/>
          <a:ext cx="619125" cy="571500"/>
        </a:xfrm>
        <a:prstGeom prst="rect">
          <a:avLst/>
        </a:prstGeom>
        <a:noFill/>
        <a:ln w="9525">
          <a:noFill/>
          <a:miter lim="800000"/>
          <a:headEnd/>
          <a:tailEnd/>
        </a:ln>
      </xdr:spPr>
    </xdr:pic>
    <xdr:clientData/>
  </xdr:twoCellAnchor>
  <xdr:twoCellAnchor editAs="oneCell">
    <xdr:from>
      <xdr:col>19</xdr:col>
      <xdr:colOff>9525</xdr:colOff>
      <xdr:row>14</xdr:row>
      <xdr:rowOff>28575</xdr:rowOff>
    </xdr:from>
    <xdr:to>
      <xdr:col>20</xdr:col>
      <xdr:colOff>47625</xdr:colOff>
      <xdr:row>14</xdr:row>
      <xdr:rowOff>685800</xdr:rowOff>
    </xdr:to>
    <xdr:pic>
      <xdr:nvPicPr>
        <xdr:cNvPr id="1085" name="Billede 2">
          <a:extLst>
            <a:ext uri="{FF2B5EF4-FFF2-40B4-BE49-F238E27FC236}">
              <a16:creationId xmlns:a16="http://schemas.microsoft.com/office/drawing/2014/main" id="{00000000-0008-0000-0000-00003D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39250" y="3571875"/>
          <a:ext cx="600075" cy="657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148</xdr:row>
      <xdr:rowOff>0</xdr:rowOff>
    </xdr:from>
    <xdr:to>
      <xdr:col>2</xdr:col>
      <xdr:colOff>228600</xdr:colOff>
      <xdr:row>152</xdr:row>
      <xdr:rowOff>0</xdr:rowOff>
    </xdr:to>
    <xdr:pic>
      <xdr:nvPicPr>
        <xdr:cNvPr id="2" name="Picture 1" descr="analyse champost">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28850" y="31661100"/>
          <a:ext cx="990600" cy="800100"/>
        </a:xfrm>
        <a:prstGeom prst="rect">
          <a:avLst/>
        </a:prstGeom>
        <a:noFill/>
      </xdr:spPr>
    </xdr:pic>
    <xdr:clientData/>
  </xdr:twoCellAnchor>
  <xdr:twoCellAnchor editAs="oneCell">
    <xdr:from>
      <xdr:col>1</xdr:col>
      <xdr:colOff>0</xdr:colOff>
      <xdr:row>153</xdr:row>
      <xdr:rowOff>0</xdr:rowOff>
    </xdr:from>
    <xdr:to>
      <xdr:col>2</xdr:col>
      <xdr:colOff>228600</xdr:colOff>
      <xdr:row>157</xdr:row>
      <xdr:rowOff>190501</xdr:rowOff>
    </xdr:to>
    <xdr:pic>
      <xdr:nvPicPr>
        <xdr:cNvPr id="3" name="Picture 2" descr="Analyse champost">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228850" y="32613600"/>
          <a:ext cx="990600" cy="990601"/>
        </a:xfrm>
        <a:prstGeom prst="rect">
          <a:avLst/>
        </a:prstGeom>
        <a:noFill/>
      </xdr:spPr>
    </xdr:pic>
    <xdr:clientData/>
  </xdr:twoCellAnchor>
  <xdr:twoCellAnchor editAs="oneCell">
    <xdr:from>
      <xdr:col>1</xdr:col>
      <xdr:colOff>0</xdr:colOff>
      <xdr:row>162</xdr:row>
      <xdr:rowOff>0</xdr:rowOff>
    </xdr:from>
    <xdr:to>
      <xdr:col>2</xdr:col>
      <xdr:colOff>228600</xdr:colOff>
      <xdr:row>166</xdr:row>
      <xdr:rowOff>190501</xdr:rowOff>
    </xdr:to>
    <xdr:pic>
      <xdr:nvPicPr>
        <xdr:cNvPr id="4" name="Picture 3" descr="Analyse champost ">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228850" y="34328100"/>
          <a:ext cx="990600" cy="99060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J127"/>
  <sheetViews>
    <sheetView tabSelected="1" zoomScaleNormal="100" workbookViewId="0">
      <selection activeCell="I2" sqref="I2"/>
    </sheetView>
  </sheetViews>
  <sheetFormatPr defaultColWidth="11.140625" defaultRowHeight="15.75" x14ac:dyDescent="0.25"/>
  <cols>
    <col min="1" max="1" width="17.5703125" style="244" customWidth="1"/>
    <col min="2" max="2" width="10.5703125" style="61" customWidth="1"/>
    <col min="3" max="3" width="3.42578125" style="55" customWidth="1"/>
    <col min="4" max="4" width="6.5703125" style="55" customWidth="1"/>
    <col min="5" max="5" width="9.42578125" style="55" customWidth="1"/>
    <col min="6" max="6" width="5.85546875" style="52" customWidth="1"/>
    <col min="7" max="8" width="4.85546875" style="52" customWidth="1"/>
    <col min="9" max="9" width="5.7109375" style="55" customWidth="1"/>
    <col min="10" max="10" width="5.5703125" style="52" customWidth="1"/>
    <col min="11" max="11" width="5.5703125" style="54" customWidth="1"/>
    <col min="12" max="14" width="7.28515625" style="55" customWidth="1"/>
    <col min="15" max="15" width="8.5703125" style="55" customWidth="1"/>
    <col min="16" max="16" width="7.28515625" style="55" customWidth="1"/>
    <col min="17" max="18" width="7.28515625" style="52" customWidth="1"/>
    <col min="19" max="19" width="9.5703125" style="56" customWidth="1"/>
    <col min="20" max="20" width="8.42578125" style="56" customWidth="1"/>
    <col min="21" max="21" width="9.42578125" style="56" customWidth="1"/>
    <col min="22" max="22" width="9" style="56" customWidth="1"/>
    <col min="23" max="23" width="7.140625" style="55" hidden="1" customWidth="1"/>
    <col min="24" max="24" width="8.140625" style="252" customWidth="1"/>
    <col min="25" max="25" width="7.42578125" style="252" customWidth="1"/>
    <col min="26" max="26" width="5.7109375" style="55" customWidth="1"/>
    <col min="27" max="28" width="6.140625" style="55" customWidth="1"/>
    <col min="29" max="29" width="5.7109375" style="55" customWidth="1"/>
    <col min="30" max="31" width="8.5703125" style="55" customWidth="1"/>
    <col min="32" max="32" width="4" style="252" customWidth="1"/>
    <col min="33" max="34" width="3.28515625" style="252" customWidth="1"/>
    <col min="35" max="35" width="14.42578125" style="249" customWidth="1"/>
    <col min="36" max="36" width="10.42578125" style="249" customWidth="1"/>
    <col min="37" max="37" width="2.7109375" style="55" customWidth="1"/>
    <col min="38" max="38" width="11.140625" style="55" customWidth="1"/>
    <col min="39" max="39" width="3" style="55" customWidth="1"/>
    <col min="40" max="40" width="4.85546875" style="52" customWidth="1"/>
    <col min="41" max="41" width="6" style="55" customWidth="1"/>
    <col min="42" max="48" width="4.7109375" style="55" customWidth="1"/>
    <col min="49" max="49" width="5" style="55" customWidth="1"/>
    <col min="50" max="50" width="4" style="55" customWidth="1"/>
    <col min="51" max="51" width="5.140625" style="55" customWidth="1"/>
    <col min="52" max="52" width="6.140625" style="55" customWidth="1"/>
    <col min="53" max="53" width="5.28515625" style="55" customWidth="1"/>
    <col min="54" max="54" width="5.42578125" style="55" customWidth="1"/>
    <col min="55" max="55" width="5" style="55" customWidth="1"/>
    <col min="56" max="57" width="5.28515625" style="55" customWidth="1"/>
    <col min="58" max="58" width="6.5703125" style="55" customWidth="1"/>
    <col min="59" max="59" width="5" style="55" customWidth="1"/>
    <col min="60" max="60" width="6.5703125" style="55" customWidth="1"/>
    <col min="61" max="61" width="7.7109375" style="55" customWidth="1"/>
    <col min="62" max="62" width="7.85546875" style="55" customWidth="1"/>
    <col min="63" max="63" width="7" style="55" customWidth="1"/>
    <col min="64" max="16384" width="11.140625" style="55"/>
  </cols>
  <sheetData>
    <row r="1" spans="1:244" ht="24" thickBot="1" x14ac:dyDescent="0.4">
      <c r="A1" s="242" t="s">
        <v>251</v>
      </c>
      <c r="B1" s="51"/>
      <c r="C1" s="50"/>
      <c r="D1" s="50"/>
      <c r="E1" s="50"/>
      <c r="I1" s="53" t="s">
        <v>476</v>
      </c>
      <c r="AD1" s="50" t="s">
        <v>473</v>
      </c>
    </row>
    <row r="2" spans="1:244" ht="21.75" thickBot="1" x14ac:dyDescent="0.4">
      <c r="A2" s="243" t="s">
        <v>27</v>
      </c>
      <c r="B2" s="123"/>
      <c r="C2" s="124"/>
      <c r="D2" s="124"/>
      <c r="E2" s="124"/>
      <c r="F2" s="118"/>
      <c r="G2" s="118"/>
      <c r="H2" s="120"/>
      <c r="I2" s="58" t="s">
        <v>286</v>
      </c>
      <c r="J2" s="57"/>
      <c r="K2" s="59"/>
      <c r="L2" s="60"/>
      <c r="M2" s="60"/>
      <c r="N2" s="60"/>
      <c r="O2" s="60"/>
      <c r="P2" s="60"/>
      <c r="Q2" s="60"/>
      <c r="R2" s="55"/>
      <c r="S2" s="56" t="s">
        <v>77</v>
      </c>
      <c r="U2" s="265"/>
    </row>
    <row r="3" spans="1:244" x14ac:dyDescent="0.25">
      <c r="A3" s="244" t="s">
        <v>0</v>
      </c>
      <c r="F3" s="62">
        <f>COUNTIF(X31:X35,"&gt;0")</f>
        <v>0</v>
      </c>
      <c r="S3" s="56" t="s">
        <v>287</v>
      </c>
      <c r="U3" s="125"/>
    </row>
    <row r="4" spans="1:244" ht="16.5" thickBot="1" x14ac:dyDescent="0.3">
      <c r="A4" s="244" t="s">
        <v>58</v>
      </c>
      <c r="C4" s="63"/>
      <c r="D4" s="55" t="s">
        <v>91</v>
      </c>
      <c r="F4" s="62"/>
      <c r="J4" s="55"/>
      <c r="K4" s="55"/>
      <c r="M4" s="64"/>
      <c r="S4" s="56" t="s">
        <v>254</v>
      </c>
      <c r="U4" s="126" t="s">
        <v>255</v>
      </c>
    </row>
    <row r="5" spans="1:244" x14ac:dyDescent="0.25">
      <c r="C5" s="63"/>
      <c r="D5" s="55" t="s">
        <v>92</v>
      </c>
      <c r="F5" s="62"/>
      <c r="J5" s="55"/>
      <c r="K5" s="55"/>
      <c r="AF5" s="257" t="s">
        <v>66</v>
      </c>
      <c r="AG5" s="257"/>
      <c r="AH5" s="257"/>
      <c r="AI5" s="256"/>
      <c r="AJ5" s="256"/>
      <c r="AK5" s="100"/>
      <c r="AL5" s="100"/>
      <c r="AM5" s="100"/>
      <c r="AN5" s="127"/>
    </row>
    <row r="6" spans="1:244" x14ac:dyDescent="0.25">
      <c r="C6" s="63"/>
      <c r="D6" s="55" t="s">
        <v>93</v>
      </c>
      <c r="F6" s="62"/>
      <c r="J6" s="55"/>
      <c r="K6" s="55"/>
      <c r="AF6" s="257" t="s">
        <v>88</v>
      </c>
      <c r="AG6" s="257"/>
      <c r="AH6" s="257"/>
      <c r="AI6" s="256"/>
      <c r="AJ6" s="256"/>
      <c r="AK6" s="100"/>
      <c r="AL6" s="100"/>
      <c r="AM6" s="100"/>
      <c r="AN6" s="127"/>
    </row>
    <row r="7" spans="1:244" x14ac:dyDescent="0.25">
      <c r="C7" s="63"/>
      <c r="D7" s="55" t="s">
        <v>94</v>
      </c>
      <c r="F7" s="62"/>
      <c r="J7" s="55"/>
      <c r="K7" s="55"/>
      <c r="AF7" s="257"/>
      <c r="AG7" s="257"/>
      <c r="AH7" s="257"/>
      <c r="AI7" s="256"/>
      <c r="AJ7" s="256"/>
      <c r="AK7" s="100"/>
      <c r="AL7" s="100"/>
      <c r="AM7" s="100"/>
      <c r="AN7" s="127"/>
    </row>
    <row r="8" spans="1:244" x14ac:dyDescent="0.25">
      <c r="C8" s="63"/>
      <c r="D8" s="55" t="s">
        <v>95</v>
      </c>
      <c r="F8" s="62"/>
      <c r="J8" s="55"/>
      <c r="K8" s="55"/>
      <c r="AF8" s="257" t="s">
        <v>67</v>
      </c>
      <c r="AG8" s="257">
        <v>1</v>
      </c>
      <c r="AH8" s="257" t="s">
        <v>68</v>
      </c>
      <c r="AI8" s="256"/>
      <c r="AJ8" s="256"/>
      <c r="AK8" s="100"/>
      <c r="AL8" s="100"/>
      <c r="AM8" s="100"/>
      <c r="AN8" s="127"/>
    </row>
    <row r="9" spans="1:244" x14ac:dyDescent="0.25">
      <c r="C9" s="63"/>
      <c r="D9" s="55" t="s">
        <v>96</v>
      </c>
      <c r="F9" s="62"/>
      <c r="J9" s="55"/>
      <c r="K9" s="55"/>
      <c r="AF9" s="257"/>
      <c r="AG9" s="257">
        <v>2</v>
      </c>
      <c r="AH9" s="257" t="s">
        <v>69</v>
      </c>
      <c r="AI9" s="256"/>
      <c r="AJ9" s="256" t="s">
        <v>73</v>
      </c>
      <c r="AK9" s="100"/>
      <c r="AL9" s="100"/>
      <c r="AM9" s="100"/>
      <c r="AN9" s="127"/>
    </row>
    <row r="10" spans="1:244" x14ac:dyDescent="0.25">
      <c r="C10" s="63"/>
      <c r="D10" s="55" t="s">
        <v>97</v>
      </c>
      <c r="F10" s="62"/>
      <c r="J10" s="55"/>
      <c r="K10" s="55"/>
      <c r="AF10" s="257"/>
      <c r="AG10" s="257">
        <v>3</v>
      </c>
      <c r="AH10" s="257" t="s">
        <v>70</v>
      </c>
      <c r="AI10" s="256"/>
      <c r="AJ10" s="256" t="s">
        <v>74</v>
      </c>
      <c r="AK10" s="100"/>
      <c r="AL10" s="100"/>
      <c r="AM10" s="100"/>
      <c r="AN10" s="127"/>
    </row>
    <row r="11" spans="1:244" x14ac:dyDescent="0.25">
      <c r="C11" s="63"/>
      <c r="D11" s="55" t="s">
        <v>98</v>
      </c>
      <c r="F11" s="62"/>
      <c r="J11" s="55"/>
      <c r="K11" s="55"/>
      <c r="AF11" s="257"/>
      <c r="AG11" s="257">
        <v>4</v>
      </c>
      <c r="AH11" s="257" t="s">
        <v>71</v>
      </c>
      <c r="AI11" s="256"/>
      <c r="AJ11" s="256" t="s">
        <v>76</v>
      </c>
      <c r="AK11" s="100"/>
      <c r="AL11" s="100"/>
      <c r="AM11" s="100"/>
      <c r="AN11" s="127"/>
    </row>
    <row r="12" spans="1:244" ht="16.5" thickBot="1" x14ac:dyDescent="0.3">
      <c r="F12" s="62"/>
      <c r="AF12" s="257"/>
      <c r="AG12" s="257">
        <v>5</v>
      </c>
      <c r="AH12" s="257" t="s">
        <v>72</v>
      </c>
      <c r="AI12" s="256"/>
      <c r="AJ12" s="256" t="s">
        <v>75</v>
      </c>
      <c r="AK12" s="100"/>
      <c r="AL12" s="100"/>
      <c r="AM12" s="100"/>
      <c r="AN12" s="127"/>
    </row>
    <row r="13" spans="1:244" ht="16.5" thickBot="1" x14ac:dyDescent="0.3">
      <c r="A13" s="245" t="s">
        <v>1</v>
      </c>
      <c r="B13" s="116"/>
      <c r="C13" s="117"/>
      <c r="D13" s="117"/>
      <c r="E13" s="117"/>
      <c r="F13" s="118"/>
      <c r="G13" s="118"/>
      <c r="H13" s="118"/>
      <c r="I13" s="117"/>
      <c r="J13" s="118"/>
      <c r="K13" s="119"/>
      <c r="L13" s="117"/>
      <c r="M13" s="117"/>
      <c r="N13" s="117"/>
      <c r="O13" s="117"/>
      <c r="P13" s="117"/>
      <c r="Q13" s="120"/>
      <c r="R13" s="121" t="s">
        <v>2</v>
      </c>
      <c r="S13" s="121"/>
      <c r="T13" s="121"/>
      <c r="U13" s="121"/>
      <c r="V13" s="121"/>
      <c r="W13" s="117"/>
      <c r="X13" s="253"/>
      <c r="Y13" s="253"/>
      <c r="Z13" s="117"/>
      <c r="AA13" s="117"/>
      <c r="AB13" s="117"/>
      <c r="AC13" s="117"/>
      <c r="AD13" s="117"/>
      <c r="AE13" s="117"/>
      <c r="AF13" s="253"/>
      <c r="AG13" s="253"/>
      <c r="AH13" s="253"/>
      <c r="AI13" s="250"/>
      <c r="AJ13" s="250"/>
      <c r="AK13" s="117"/>
      <c r="AL13" s="122"/>
    </row>
    <row r="14" spans="1:244" ht="57.75" x14ac:dyDescent="0.25">
      <c r="M14" s="65" t="s">
        <v>3</v>
      </c>
      <c r="N14" s="65"/>
      <c r="S14" s="66"/>
      <c r="T14" s="66"/>
      <c r="U14" s="66"/>
      <c r="V14" s="66"/>
      <c r="AF14" s="258" t="s">
        <v>63</v>
      </c>
      <c r="AG14" s="258" t="s">
        <v>64</v>
      </c>
      <c r="AH14" s="258" t="s">
        <v>65</v>
      </c>
      <c r="AI14" s="262" t="s">
        <v>89</v>
      </c>
    </row>
    <row r="15" spans="1:244" s="47" customFormat="1" ht="85.5" customHeight="1" x14ac:dyDescent="0.2">
      <c r="A15" s="246" t="s">
        <v>4</v>
      </c>
      <c r="B15" s="138" t="s">
        <v>144</v>
      </c>
      <c r="C15" s="68" t="s">
        <v>28</v>
      </c>
      <c r="D15" s="69" t="s">
        <v>5</v>
      </c>
      <c r="E15" s="69" t="s">
        <v>6</v>
      </c>
      <c r="F15" s="70" t="s">
        <v>7</v>
      </c>
      <c r="G15" s="71" t="s">
        <v>29</v>
      </c>
      <c r="H15" s="72" t="s">
        <v>59</v>
      </c>
      <c r="I15" s="73" t="s">
        <v>8</v>
      </c>
      <c r="J15" s="73" t="s">
        <v>9</v>
      </c>
      <c r="K15" s="74" t="s">
        <v>31</v>
      </c>
      <c r="L15" s="67" t="s">
        <v>10</v>
      </c>
      <c r="M15" s="67" t="s">
        <v>11</v>
      </c>
      <c r="N15" s="67" t="s">
        <v>12</v>
      </c>
      <c r="O15" s="67" t="s">
        <v>13</v>
      </c>
      <c r="P15" s="75" t="s">
        <v>291</v>
      </c>
      <c r="Q15" s="76" t="s">
        <v>14</v>
      </c>
      <c r="R15" s="130" t="s">
        <v>267</v>
      </c>
      <c r="S15" s="77" t="s">
        <v>15</v>
      </c>
      <c r="T15" s="77" t="s">
        <v>16</v>
      </c>
      <c r="U15" s="78" t="s">
        <v>87</v>
      </c>
      <c r="V15" s="77" t="s">
        <v>17</v>
      </c>
      <c r="W15" s="79" t="s">
        <v>18</v>
      </c>
      <c r="X15" s="254" t="s">
        <v>19</v>
      </c>
      <c r="Y15" s="254" t="s">
        <v>20</v>
      </c>
      <c r="Z15" s="67" t="s">
        <v>21</v>
      </c>
      <c r="AA15" s="67" t="s">
        <v>22</v>
      </c>
      <c r="AB15" s="80" t="s">
        <v>23</v>
      </c>
      <c r="AC15" s="80" t="s">
        <v>24</v>
      </c>
      <c r="AD15" s="67" t="s">
        <v>25</v>
      </c>
      <c r="AE15" s="67" t="s">
        <v>26</v>
      </c>
      <c r="AF15" s="259" t="s">
        <v>61</v>
      </c>
      <c r="AG15" s="259" t="s">
        <v>62</v>
      </c>
      <c r="AH15" s="260" t="s">
        <v>252</v>
      </c>
      <c r="AI15" s="251" t="s">
        <v>22</v>
      </c>
      <c r="AJ15" s="251" t="s">
        <v>90</v>
      </c>
      <c r="AK15" s="67"/>
      <c r="AL15" s="67" t="s">
        <v>99</v>
      </c>
      <c r="AM15" s="80" t="s">
        <v>471</v>
      </c>
      <c r="AN15" s="73" t="s">
        <v>100</v>
      </c>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row>
    <row r="16" spans="1:244" s="47" customFormat="1" ht="11.25" x14ac:dyDescent="0.2">
      <c r="A16" s="247"/>
      <c r="B16" s="139"/>
      <c r="C16" s="115"/>
      <c r="D16" s="81">
        <f t="shared" ref="D16:D25" si="0">U$3</f>
        <v>0</v>
      </c>
      <c r="E16" s="81">
        <f t="shared" ref="E16:E25" si="1">$U$2</f>
        <v>0</v>
      </c>
      <c r="F16" s="135"/>
      <c r="G16" s="136"/>
      <c r="H16" s="137"/>
      <c r="J16" s="82"/>
      <c r="K16" s="83"/>
      <c r="P16" s="84"/>
      <c r="Q16" s="101"/>
      <c r="R16" s="132"/>
      <c r="S16" s="87"/>
      <c r="T16" s="87"/>
      <c r="U16" s="87"/>
      <c r="V16" s="87"/>
      <c r="W16" s="85"/>
      <c r="X16" s="255"/>
      <c r="Y16" s="255"/>
      <c r="AB16" s="85" t="str">
        <f t="shared" ref="AB16:AB25" si="2">IF(AA16&gt;0,AA16*AA16*(Y16*0.22822+1.2),"")</f>
        <v/>
      </c>
      <c r="AC16" s="85" t="str">
        <f t="shared" ref="AC16:AC25" si="3">IF(Z16&gt;0,Y16*10/Z16,"")</f>
        <v/>
      </c>
      <c r="AD16" s="86" t="str">
        <f t="shared" ref="AD16:AD25" si="4">IF(X16&gt;0,X16/M16/N16/L16*10000,"")</f>
        <v/>
      </c>
      <c r="AE16" s="86" t="str">
        <f t="shared" ref="AE16:AE25" si="5">IF(X16&gt;0,X16/L16,"")</f>
        <v/>
      </c>
      <c r="AF16" s="255"/>
      <c r="AG16" s="255"/>
      <c r="AH16" s="255"/>
      <c r="AI16" s="263" t="str">
        <f t="shared" ref="AI16:AI25" si="6">IF(AA16&lt;&gt;"",IF(AB16&gt;270,"overmoden",IF(AB16&lt;200,"umoden","moden")),"")</f>
        <v/>
      </c>
      <c r="AJ16" s="263" t="str">
        <f t="shared" ref="AJ16:AJ25" si="7">IF(Z16&lt;&gt;"",IF(AC16&gt;74.5,"moden","umoden"),"")</f>
        <v/>
      </c>
      <c r="AM16" s="6" t="str">
        <f t="shared" ref="AM16:AM25" si="8">IF($U$4&lt;&gt;"N","E","H")</f>
        <v>H</v>
      </c>
      <c r="AN16" s="6" t="str">
        <f t="shared" ref="AN16:AN25" si="9">IF($C$4&lt;&gt;"","GB",IF($C$5&lt;&gt;"","B",IF($C$6&lt;&gt;"","SØ",IF($C$7&lt;&gt;"","Ø",IF($C$8&lt;&gt;"","GD",IF($C$9&lt;&gt;"","IK",IF($C$10&lt;&gt;"","IP","K")))))))</f>
        <v>K</v>
      </c>
    </row>
    <row r="17" spans="1:40" s="47" customFormat="1" ht="11.25" x14ac:dyDescent="0.2">
      <c r="A17" s="247"/>
      <c r="B17" s="139"/>
      <c r="C17" s="115"/>
      <c r="D17" s="81">
        <f t="shared" si="0"/>
        <v>0</v>
      </c>
      <c r="E17" s="81">
        <f t="shared" si="1"/>
        <v>0</v>
      </c>
      <c r="F17" s="135"/>
      <c r="G17" s="136"/>
      <c r="H17" s="137"/>
      <c r="J17" s="82"/>
      <c r="K17" s="83"/>
      <c r="P17" s="84"/>
      <c r="Q17" s="101"/>
      <c r="R17" s="132"/>
      <c r="S17" s="87"/>
      <c r="T17" s="87"/>
      <c r="U17" s="87"/>
      <c r="V17" s="87"/>
      <c r="W17" s="85"/>
      <c r="X17" s="255"/>
      <c r="Y17" s="255"/>
      <c r="AB17" s="85" t="str">
        <f t="shared" si="2"/>
        <v/>
      </c>
      <c r="AC17" s="85" t="str">
        <f t="shared" si="3"/>
        <v/>
      </c>
      <c r="AD17" s="86" t="str">
        <f t="shared" si="4"/>
        <v/>
      </c>
      <c r="AE17" s="86" t="str">
        <f t="shared" si="5"/>
        <v/>
      </c>
      <c r="AF17" s="255"/>
      <c r="AG17" s="255"/>
      <c r="AH17" s="255"/>
      <c r="AI17" s="263" t="str">
        <f t="shared" si="6"/>
        <v/>
      </c>
      <c r="AJ17" s="263" t="str">
        <f t="shared" si="7"/>
        <v/>
      </c>
      <c r="AM17" s="6" t="str">
        <f t="shared" si="8"/>
        <v>H</v>
      </c>
      <c r="AN17" s="6" t="str">
        <f t="shared" si="9"/>
        <v>K</v>
      </c>
    </row>
    <row r="18" spans="1:40" s="47" customFormat="1" ht="11.25" x14ac:dyDescent="0.2">
      <c r="A18" s="247"/>
      <c r="B18" s="139"/>
      <c r="C18" s="115"/>
      <c r="D18" s="81">
        <f t="shared" si="0"/>
        <v>0</v>
      </c>
      <c r="E18" s="81">
        <f t="shared" si="1"/>
        <v>0</v>
      </c>
      <c r="F18" s="135"/>
      <c r="G18" s="136"/>
      <c r="H18" s="137"/>
      <c r="J18" s="82"/>
      <c r="K18" s="83"/>
      <c r="P18" s="84"/>
      <c r="Q18" s="101"/>
      <c r="R18" s="132"/>
      <c r="S18" s="87"/>
      <c r="T18" s="87"/>
      <c r="U18" s="87"/>
      <c r="V18" s="87"/>
      <c r="W18" s="85"/>
      <c r="X18" s="255"/>
      <c r="Y18" s="255"/>
      <c r="AB18" s="85" t="str">
        <f t="shared" si="2"/>
        <v/>
      </c>
      <c r="AC18" s="85" t="str">
        <f t="shared" si="3"/>
        <v/>
      </c>
      <c r="AD18" s="86" t="str">
        <f t="shared" si="4"/>
        <v/>
      </c>
      <c r="AE18" s="86" t="str">
        <f t="shared" si="5"/>
        <v/>
      </c>
      <c r="AF18" s="255"/>
      <c r="AG18" s="255"/>
      <c r="AH18" s="255"/>
      <c r="AI18" s="263" t="str">
        <f t="shared" si="6"/>
        <v/>
      </c>
      <c r="AJ18" s="263" t="str">
        <f t="shared" si="7"/>
        <v/>
      </c>
      <c r="AM18" s="6" t="str">
        <f t="shared" si="8"/>
        <v>H</v>
      </c>
      <c r="AN18" s="6" t="str">
        <f t="shared" si="9"/>
        <v>K</v>
      </c>
    </row>
    <row r="19" spans="1:40" s="47" customFormat="1" ht="11.25" x14ac:dyDescent="0.2">
      <c r="A19" s="247"/>
      <c r="B19" s="139"/>
      <c r="C19" s="115"/>
      <c r="D19" s="81">
        <f t="shared" si="0"/>
        <v>0</v>
      </c>
      <c r="E19" s="81">
        <f t="shared" si="1"/>
        <v>0</v>
      </c>
      <c r="F19" s="135"/>
      <c r="G19" s="136"/>
      <c r="H19" s="137"/>
      <c r="J19" s="82"/>
      <c r="K19" s="83"/>
      <c r="P19" s="84" t="str">
        <f t="shared" ref="P19:P20" si="10">IF(L19*M19*N19/10000&gt;0,L19*M19*N19/10000,"")</f>
        <v/>
      </c>
      <c r="Q19" s="101"/>
      <c r="R19" s="132"/>
      <c r="S19" s="87"/>
      <c r="T19" s="87"/>
      <c r="U19" s="87"/>
      <c r="V19" s="87"/>
      <c r="W19" s="85" t="str">
        <f t="shared" ref="W19:W20" si="11">IF(V19&gt;0,IF(T19&gt;0,V19-T19,V19-$T$36),"")</f>
        <v/>
      </c>
      <c r="X19" s="255"/>
      <c r="Y19" s="255"/>
      <c r="AB19" s="85" t="str">
        <f t="shared" si="2"/>
        <v/>
      </c>
      <c r="AC19" s="85" t="str">
        <f t="shared" si="3"/>
        <v/>
      </c>
      <c r="AD19" s="86" t="str">
        <f t="shared" si="4"/>
        <v/>
      </c>
      <c r="AE19" s="86" t="str">
        <f t="shared" si="5"/>
        <v/>
      </c>
      <c r="AF19" s="255"/>
      <c r="AG19" s="255"/>
      <c r="AH19" s="255"/>
      <c r="AI19" s="263" t="str">
        <f t="shared" si="6"/>
        <v/>
      </c>
      <c r="AJ19" s="263" t="str">
        <f t="shared" si="7"/>
        <v/>
      </c>
      <c r="AM19" s="6" t="str">
        <f t="shared" si="8"/>
        <v>H</v>
      </c>
      <c r="AN19" s="6" t="str">
        <f t="shared" si="9"/>
        <v>K</v>
      </c>
    </row>
    <row r="20" spans="1:40" s="47" customFormat="1" ht="11.25" x14ac:dyDescent="0.2">
      <c r="A20" s="247"/>
      <c r="B20" s="139"/>
      <c r="C20" s="115"/>
      <c r="D20" s="81">
        <f t="shared" si="0"/>
        <v>0</v>
      </c>
      <c r="E20" s="81">
        <f t="shared" si="1"/>
        <v>0</v>
      </c>
      <c r="F20" s="135"/>
      <c r="G20" s="136"/>
      <c r="H20" s="137"/>
      <c r="J20" s="82"/>
      <c r="K20" s="83"/>
      <c r="P20" s="84" t="str">
        <f t="shared" si="10"/>
        <v/>
      </c>
      <c r="Q20" s="101"/>
      <c r="R20" s="132"/>
      <c r="S20" s="87"/>
      <c r="T20" s="87"/>
      <c r="U20" s="87"/>
      <c r="V20" s="87"/>
      <c r="W20" s="85" t="str">
        <f t="shared" si="11"/>
        <v/>
      </c>
      <c r="X20" s="255"/>
      <c r="Y20" s="255"/>
      <c r="AB20" s="85" t="str">
        <f t="shared" si="2"/>
        <v/>
      </c>
      <c r="AC20" s="85" t="str">
        <f t="shared" si="3"/>
        <v/>
      </c>
      <c r="AD20" s="86" t="str">
        <f t="shared" si="4"/>
        <v/>
      </c>
      <c r="AE20" s="86" t="str">
        <f t="shared" si="5"/>
        <v/>
      </c>
      <c r="AF20" s="255"/>
      <c r="AG20" s="255"/>
      <c r="AH20" s="255"/>
      <c r="AI20" s="263" t="str">
        <f t="shared" si="6"/>
        <v/>
      </c>
      <c r="AJ20" s="263" t="str">
        <f t="shared" si="7"/>
        <v/>
      </c>
      <c r="AM20" s="6" t="str">
        <f t="shared" si="8"/>
        <v>H</v>
      </c>
      <c r="AN20" s="6" t="str">
        <f t="shared" si="9"/>
        <v>K</v>
      </c>
    </row>
    <row r="21" spans="1:40" s="47" customFormat="1" ht="11.25" x14ac:dyDescent="0.2">
      <c r="A21" s="247"/>
      <c r="B21" s="139"/>
      <c r="C21" s="115"/>
      <c r="D21" s="81">
        <f t="shared" si="0"/>
        <v>0</v>
      </c>
      <c r="E21" s="81">
        <f t="shared" si="1"/>
        <v>0</v>
      </c>
      <c r="F21" s="135"/>
      <c r="G21" s="136"/>
      <c r="H21" s="137"/>
      <c r="J21" s="82"/>
      <c r="K21" s="83"/>
      <c r="P21" s="84"/>
      <c r="Q21" s="101"/>
      <c r="R21" s="132"/>
      <c r="S21" s="87"/>
      <c r="T21" s="87"/>
      <c r="U21" s="87"/>
      <c r="V21" s="87"/>
      <c r="W21" s="85"/>
      <c r="X21" s="255"/>
      <c r="Y21" s="255"/>
      <c r="AB21" s="85" t="str">
        <f t="shared" si="2"/>
        <v/>
      </c>
      <c r="AC21" s="85" t="str">
        <f t="shared" si="3"/>
        <v/>
      </c>
      <c r="AD21" s="86" t="str">
        <f t="shared" si="4"/>
        <v/>
      </c>
      <c r="AE21" s="86" t="str">
        <f t="shared" si="5"/>
        <v/>
      </c>
      <c r="AF21" s="255"/>
      <c r="AG21" s="255"/>
      <c r="AH21" s="255"/>
      <c r="AI21" s="263" t="str">
        <f t="shared" si="6"/>
        <v/>
      </c>
      <c r="AJ21" s="263" t="str">
        <f t="shared" si="7"/>
        <v/>
      </c>
      <c r="AM21" s="6" t="str">
        <f t="shared" si="8"/>
        <v>H</v>
      </c>
      <c r="AN21" s="6" t="str">
        <f t="shared" si="9"/>
        <v>K</v>
      </c>
    </row>
    <row r="22" spans="1:40" s="47" customFormat="1" ht="11.25" x14ac:dyDescent="0.2">
      <c r="A22" s="247"/>
      <c r="B22" s="139"/>
      <c r="C22" s="115"/>
      <c r="D22" s="81">
        <f t="shared" si="0"/>
        <v>0</v>
      </c>
      <c r="E22" s="81">
        <f t="shared" si="1"/>
        <v>0</v>
      </c>
      <c r="F22" s="135"/>
      <c r="G22" s="136"/>
      <c r="H22" s="137"/>
      <c r="J22" s="82"/>
      <c r="K22" s="83"/>
      <c r="P22" s="84"/>
      <c r="Q22" s="101"/>
      <c r="R22" s="132"/>
      <c r="S22" s="87"/>
      <c r="T22" s="87"/>
      <c r="U22" s="87"/>
      <c r="V22" s="87"/>
      <c r="W22" s="85"/>
      <c r="X22" s="255"/>
      <c r="Y22" s="255"/>
      <c r="AB22" s="85" t="str">
        <f t="shared" si="2"/>
        <v/>
      </c>
      <c r="AC22" s="85" t="str">
        <f t="shared" si="3"/>
        <v/>
      </c>
      <c r="AD22" s="86" t="str">
        <f t="shared" si="4"/>
        <v/>
      </c>
      <c r="AE22" s="86" t="str">
        <f t="shared" si="5"/>
        <v/>
      </c>
      <c r="AF22" s="255"/>
      <c r="AG22" s="255"/>
      <c r="AH22" s="255"/>
      <c r="AI22" s="263" t="str">
        <f t="shared" si="6"/>
        <v/>
      </c>
      <c r="AJ22" s="263" t="str">
        <f t="shared" si="7"/>
        <v/>
      </c>
      <c r="AM22" s="6" t="str">
        <f t="shared" si="8"/>
        <v>H</v>
      </c>
      <c r="AN22" s="6" t="str">
        <f t="shared" si="9"/>
        <v>K</v>
      </c>
    </row>
    <row r="23" spans="1:40" s="47" customFormat="1" ht="11.25" x14ac:dyDescent="0.2">
      <c r="A23" s="247"/>
      <c r="B23" s="139"/>
      <c r="C23" s="115"/>
      <c r="D23" s="81">
        <f t="shared" si="0"/>
        <v>0</v>
      </c>
      <c r="E23" s="81">
        <f t="shared" si="1"/>
        <v>0</v>
      </c>
      <c r="F23" s="135"/>
      <c r="G23" s="136"/>
      <c r="H23" s="137"/>
      <c r="J23" s="82"/>
      <c r="K23" s="83"/>
      <c r="P23" s="84"/>
      <c r="Q23" s="101"/>
      <c r="R23" s="132"/>
      <c r="S23" s="87"/>
      <c r="T23" s="87"/>
      <c r="U23" s="87"/>
      <c r="V23" s="87"/>
      <c r="W23" s="85"/>
      <c r="X23" s="255"/>
      <c r="Y23" s="255"/>
      <c r="AB23" s="85" t="str">
        <f t="shared" si="2"/>
        <v/>
      </c>
      <c r="AC23" s="85" t="str">
        <f t="shared" si="3"/>
        <v/>
      </c>
      <c r="AD23" s="86" t="str">
        <f t="shared" si="4"/>
        <v/>
      </c>
      <c r="AE23" s="86" t="str">
        <f t="shared" si="5"/>
        <v/>
      </c>
      <c r="AF23" s="255"/>
      <c r="AG23" s="255"/>
      <c r="AH23" s="255"/>
      <c r="AI23" s="263" t="str">
        <f t="shared" si="6"/>
        <v/>
      </c>
      <c r="AJ23" s="263" t="str">
        <f t="shared" si="7"/>
        <v/>
      </c>
      <c r="AM23" s="6" t="str">
        <f t="shared" si="8"/>
        <v>H</v>
      </c>
      <c r="AN23" s="6" t="str">
        <f t="shared" si="9"/>
        <v>K</v>
      </c>
    </row>
    <row r="24" spans="1:40" s="47" customFormat="1" ht="11.25" x14ac:dyDescent="0.2">
      <c r="A24" s="247"/>
      <c r="B24" s="139"/>
      <c r="C24" s="115"/>
      <c r="D24" s="81">
        <f t="shared" si="0"/>
        <v>0</v>
      </c>
      <c r="E24" s="81">
        <f t="shared" si="1"/>
        <v>0</v>
      </c>
      <c r="F24" s="135"/>
      <c r="G24" s="136"/>
      <c r="H24" s="137"/>
      <c r="J24" s="82"/>
      <c r="K24" s="83"/>
      <c r="P24" s="84" t="str">
        <f t="shared" ref="P24:P25" si="12">IF(L24*M24*N24/10000&gt;0,L24*M24*N24/10000,"")</f>
        <v/>
      </c>
      <c r="Q24" s="101"/>
      <c r="R24" s="132"/>
      <c r="S24" s="87"/>
      <c r="T24" s="87"/>
      <c r="U24" s="87"/>
      <c r="V24" s="87"/>
      <c r="W24" s="85" t="str">
        <f t="shared" ref="W24:W25" si="13">IF(V24&gt;0,IF(T24&gt;0,V24-T24,V24-$T$36),"")</f>
        <v/>
      </c>
      <c r="X24" s="255"/>
      <c r="Y24" s="255"/>
      <c r="AB24" s="85" t="str">
        <f t="shared" si="2"/>
        <v/>
      </c>
      <c r="AC24" s="85" t="str">
        <f t="shared" si="3"/>
        <v/>
      </c>
      <c r="AD24" s="86" t="str">
        <f t="shared" si="4"/>
        <v/>
      </c>
      <c r="AE24" s="86" t="str">
        <f t="shared" si="5"/>
        <v/>
      </c>
      <c r="AF24" s="255"/>
      <c r="AG24" s="255"/>
      <c r="AH24" s="255"/>
      <c r="AI24" s="263" t="str">
        <f t="shared" si="6"/>
        <v/>
      </c>
      <c r="AJ24" s="263" t="str">
        <f t="shared" si="7"/>
        <v/>
      </c>
      <c r="AM24" s="6" t="str">
        <f t="shared" si="8"/>
        <v>H</v>
      </c>
      <c r="AN24" s="6" t="str">
        <f t="shared" si="9"/>
        <v>K</v>
      </c>
    </row>
    <row r="25" spans="1:40" s="47" customFormat="1" ht="11.25" x14ac:dyDescent="0.2">
      <c r="A25" s="247"/>
      <c r="B25" s="139"/>
      <c r="C25" s="115"/>
      <c r="D25" s="81">
        <f t="shared" si="0"/>
        <v>0</v>
      </c>
      <c r="E25" s="81">
        <f t="shared" si="1"/>
        <v>0</v>
      </c>
      <c r="F25" s="135"/>
      <c r="G25" s="136"/>
      <c r="H25" s="137"/>
      <c r="J25" s="82"/>
      <c r="K25" s="83"/>
      <c r="P25" s="84" t="str">
        <f t="shared" si="12"/>
        <v/>
      </c>
      <c r="Q25" s="101"/>
      <c r="R25" s="132"/>
      <c r="S25" s="87"/>
      <c r="T25" s="87"/>
      <c r="U25" s="87"/>
      <c r="V25" s="87"/>
      <c r="W25" s="85" t="str">
        <f t="shared" si="13"/>
        <v/>
      </c>
      <c r="X25" s="255"/>
      <c r="Y25" s="255"/>
      <c r="AB25" s="85" t="str">
        <f t="shared" si="2"/>
        <v/>
      </c>
      <c r="AC25" s="85" t="str">
        <f t="shared" si="3"/>
        <v/>
      </c>
      <c r="AD25" s="86" t="str">
        <f t="shared" si="4"/>
        <v/>
      </c>
      <c r="AE25" s="86" t="str">
        <f t="shared" si="5"/>
        <v/>
      </c>
      <c r="AF25" s="255"/>
      <c r="AG25" s="255"/>
      <c r="AH25" s="255"/>
      <c r="AI25" s="263" t="str">
        <f t="shared" si="6"/>
        <v/>
      </c>
      <c r="AJ25" s="263" t="str">
        <f t="shared" si="7"/>
        <v/>
      </c>
      <c r="AM25" s="6" t="str">
        <f t="shared" si="8"/>
        <v>H</v>
      </c>
      <c r="AN25" s="6" t="str">
        <f t="shared" si="9"/>
        <v>K</v>
      </c>
    </row>
    <row r="26" spans="1:40" s="47" customFormat="1" ht="11.25" x14ac:dyDescent="0.2">
      <c r="A26" s="247"/>
      <c r="B26" s="139"/>
      <c r="C26" s="115"/>
      <c r="D26" s="81">
        <f t="shared" ref="D26:D30" si="14">U$3</f>
        <v>0</v>
      </c>
      <c r="E26" s="81">
        <f t="shared" ref="E26:E30" si="15">$U$2</f>
        <v>0</v>
      </c>
      <c r="F26" s="135"/>
      <c r="G26" s="136"/>
      <c r="H26" s="137"/>
      <c r="J26" s="82"/>
      <c r="K26" s="83"/>
      <c r="P26" s="84"/>
      <c r="Q26" s="101"/>
      <c r="R26" s="132"/>
      <c r="S26" s="87"/>
      <c r="T26" s="87"/>
      <c r="U26" s="87"/>
      <c r="V26" s="87"/>
      <c r="W26" s="85"/>
      <c r="X26" s="255"/>
      <c r="Y26" s="255"/>
      <c r="AB26" s="85" t="str">
        <f t="shared" ref="AB26:AB30" si="16">IF(AA26&gt;0,AA26*AA26*(Y26*0.22822+1.2),"")</f>
        <v/>
      </c>
      <c r="AC26" s="85" t="str">
        <f t="shared" ref="AC26:AC30" si="17">IF(Z26&gt;0,Y26*10/Z26,"")</f>
        <v/>
      </c>
      <c r="AD26" s="86" t="str">
        <f t="shared" ref="AD26:AD30" si="18">IF(X26&gt;0,X26/M26/N26/L26*10000,"")</f>
        <v/>
      </c>
      <c r="AE26" s="86" t="str">
        <f t="shared" ref="AE26:AE30" si="19">IF(X26&gt;0,X26/L26,"")</f>
        <v/>
      </c>
      <c r="AF26" s="255"/>
      <c r="AG26" s="255"/>
      <c r="AH26" s="255"/>
      <c r="AI26" s="263" t="str">
        <f t="shared" ref="AI26:AI30" si="20">IF(AA26&lt;&gt;"",IF(AB26&gt;270,"overmoden",IF(AB26&lt;200,"umoden","moden")),"")</f>
        <v/>
      </c>
      <c r="AJ26" s="263" t="str">
        <f t="shared" ref="AJ26:AJ30" si="21">IF(Z26&lt;&gt;"",IF(AC26&gt;74.5,"moden","umoden"),"")</f>
        <v/>
      </c>
      <c r="AM26" s="6" t="str">
        <f t="shared" ref="AM26:AM30" si="22">IF($U$4&lt;&gt;"N","E","H")</f>
        <v>H</v>
      </c>
      <c r="AN26" s="6" t="str">
        <f t="shared" ref="AN26:AN30" si="23">IF($C$4&lt;&gt;"","GB",IF($C$5&lt;&gt;"","B",IF($C$6&lt;&gt;"","SØ",IF($C$7&lt;&gt;"","Ø",IF($C$8&lt;&gt;"","GD",IF($C$9&lt;&gt;"","IK",IF($C$10&lt;&gt;"","IP","K")))))))</f>
        <v>K</v>
      </c>
    </row>
    <row r="27" spans="1:40" s="47" customFormat="1" ht="11.25" x14ac:dyDescent="0.2">
      <c r="A27" s="247"/>
      <c r="B27" s="139"/>
      <c r="C27" s="115"/>
      <c r="D27" s="81">
        <f t="shared" si="14"/>
        <v>0</v>
      </c>
      <c r="E27" s="81">
        <f t="shared" si="15"/>
        <v>0</v>
      </c>
      <c r="F27" s="135"/>
      <c r="G27" s="136"/>
      <c r="H27" s="137"/>
      <c r="J27" s="82"/>
      <c r="K27" s="83"/>
      <c r="P27" s="84"/>
      <c r="Q27" s="101"/>
      <c r="R27" s="132"/>
      <c r="S27" s="87"/>
      <c r="T27" s="87"/>
      <c r="U27" s="87"/>
      <c r="V27" s="87"/>
      <c r="W27" s="85"/>
      <c r="X27" s="255"/>
      <c r="Y27" s="255"/>
      <c r="AB27" s="85" t="str">
        <f t="shared" si="16"/>
        <v/>
      </c>
      <c r="AC27" s="85" t="str">
        <f t="shared" si="17"/>
        <v/>
      </c>
      <c r="AD27" s="86" t="str">
        <f t="shared" si="18"/>
        <v/>
      </c>
      <c r="AE27" s="86" t="str">
        <f t="shared" si="19"/>
        <v/>
      </c>
      <c r="AF27" s="255"/>
      <c r="AG27" s="255"/>
      <c r="AH27" s="255"/>
      <c r="AI27" s="263" t="str">
        <f t="shared" si="20"/>
        <v/>
      </c>
      <c r="AJ27" s="263" t="str">
        <f t="shared" si="21"/>
        <v/>
      </c>
      <c r="AM27" s="6" t="str">
        <f t="shared" si="22"/>
        <v>H</v>
      </c>
      <c r="AN27" s="6" t="str">
        <f t="shared" si="23"/>
        <v>K</v>
      </c>
    </row>
    <row r="28" spans="1:40" s="47" customFormat="1" ht="11.25" x14ac:dyDescent="0.2">
      <c r="A28" s="247"/>
      <c r="B28" s="139"/>
      <c r="C28" s="115"/>
      <c r="D28" s="81">
        <f t="shared" si="14"/>
        <v>0</v>
      </c>
      <c r="E28" s="81">
        <f t="shared" si="15"/>
        <v>0</v>
      </c>
      <c r="F28" s="135"/>
      <c r="G28" s="136"/>
      <c r="H28" s="137"/>
      <c r="J28" s="82"/>
      <c r="K28" s="83"/>
      <c r="P28" s="84"/>
      <c r="Q28" s="101"/>
      <c r="R28" s="132"/>
      <c r="S28" s="87"/>
      <c r="T28" s="87"/>
      <c r="U28" s="87"/>
      <c r="V28" s="87"/>
      <c r="W28" s="85"/>
      <c r="X28" s="255"/>
      <c r="Y28" s="255"/>
      <c r="AB28" s="85" t="str">
        <f t="shared" si="16"/>
        <v/>
      </c>
      <c r="AC28" s="85" t="str">
        <f t="shared" si="17"/>
        <v/>
      </c>
      <c r="AD28" s="86" t="str">
        <f t="shared" si="18"/>
        <v/>
      </c>
      <c r="AE28" s="86" t="str">
        <f t="shared" si="19"/>
        <v/>
      </c>
      <c r="AF28" s="255"/>
      <c r="AG28" s="255"/>
      <c r="AH28" s="255"/>
      <c r="AI28" s="263" t="str">
        <f t="shared" si="20"/>
        <v/>
      </c>
      <c r="AJ28" s="263" t="str">
        <f t="shared" si="21"/>
        <v/>
      </c>
      <c r="AM28" s="6" t="str">
        <f t="shared" si="22"/>
        <v>H</v>
      </c>
      <c r="AN28" s="6" t="str">
        <f t="shared" si="23"/>
        <v>K</v>
      </c>
    </row>
    <row r="29" spans="1:40" s="47" customFormat="1" ht="11.25" x14ac:dyDescent="0.2">
      <c r="A29" s="247"/>
      <c r="B29" s="139"/>
      <c r="C29" s="115"/>
      <c r="D29" s="81">
        <f t="shared" si="14"/>
        <v>0</v>
      </c>
      <c r="E29" s="81">
        <f t="shared" si="15"/>
        <v>0</v>
      </c>
      <c r="F29" s="135"/>
      <c r="G29" s="136"/>
      <c r="H29" s="137"/>
      <c r="J29" s="82"/>
      <c r="K29" s="83"/>
      <c r="P29" s="84" t="str">
        <f t="shared" ref="P29:P30" si="24">IF(L29*M29*N29/10000&gt;0,L29*M29*N29/10000,"")</f>
        <v/>
      </c>
      <c r="Q29" s="101"/>
      <c r="R29" s="132"/>
      <c r="S29" s="87"/>
      <c r="T29" s="87"/>
      <c r="U29" s="87"/>
      <c r="V29" s="87"/>
      <c r="W29" s="85" t="str">
        <f t="shared" ref="W29:W30" si="25">IF(V29&gt;0,IF(T29&gt;0,V29-T29,V29-$T$36),"")</f>
        <v/>
      </c>
      <c r="X29" s="255"/>
      <c r="Y29" s="255"/>
      <c r="AB29" s="85" t="str">
        <f t="shared" si="16"/>
        <v/>
      </c>
      <c r="AC29" s="85" t="str">
        <f t="shared" si="17"/>
        <v/>
      </c>
      <c r="AD29" s="86" t="str">
        <f t="shared" si="18"/>
        <v/>
      </c>
      <c r="AE29" s="86" t="str">
        <f t="shared" si="19"/>
        <v/>
      </c>
      <c r="AF29" s="255"/>
      <c r="AG29" s="255"/>
      <c r="AH29" s="255"/>
      <c r="AI29" s="263" t="str">
        <f t="shared" si="20"/>
        <v/>
      </c>
      <c r="AJ29" s="263" t="str">
        <f t="shared" si="21"/>
        <v/>
      </c>
      <c r="AM29" s="6" t="str">
        <f t="shared" si="22"/>
        <v>H</v>
      </c>
      <c r="AN29" s="6" t="str">
        <f t="shared" si="23"/>
        <v>K</v>
      </c>
    </row>
    <row r="30" spans="1:40" s="47" customFormat="1" ht="11.25" x14ac:dyDescent="0.2">
      <c r="A30" s="247"/>
      <c r="B30" s="139"/>
      <c r="C30" s="115"/>
      <c r="D30" s="81">
        <f t="shared" si="14"/>
        <v>0</v>
      </c>
      <c r="E30" s="81">
        <f t="shared" si="15"/>
        <v>0</v>
      </c>
      <c r="F30" s="135"/>
      <c r="G30" s="136"/>
      <c r="H30" s="137"/>
      <c r="J30" s="82"/>
      <c r="K30" s="83"/>
      <c r="P30" s="84" t="str">
        <f t="shared" si="24"/>
        <v/>
      </c>
      <c r="Q30" s="101"/>
      <c r="R30" s="132"/>
      <c r="S30" s="87"/>
      <c r="T30" s="87"/>
      <c r="U30" s="87"/>
      <c r="V30" s="87"/>
      <c r="W30" s="85" t="str">
        <f t="shared" si="25"/>
        <v/>
      </c>
      <c r="X30" s="255"/>
      <c r="Y30" s="255"/>
      <c r="AB30" s="85" t="str">
        <f t="shared" si="16"/>
        <v/>
      </c>
      <c r="AC30" s="85" t="str">
        <f t="shared" si="17"/>
        <v/>
      </c>
      <c r="AD30" s="86" t="str">
        <f t="shared" si="18"/>
        <v/>
      </c>
      <c r="AE30" s="86" t="str">
        <f t="shared" si="19"/>
        <v/>
      </c>
      <c r="AF30" s="255"/>
      <c r="AG30" s="255"/>
      <c r="AH30" s="255"/>
      <c r="AI30" s="263" t="str">
        <f t="shared" si="20"/>
        <v/>
      </c>
      <c r="AJ30" s="263" t="str">
        <f t="shared" si="21"/>
        <v/>
      </c>
      <c r="AM30" s="6" t="str">
        <f t="shared" si="22"/>
        <v>H</v>
      </c>
      <c r="AN30" s="6" t="str">
        <f t="shared" si="23"/>
        <v>K</v>
      </c>
    </row>
    <row r="31" spans="1:40" s="47" customFormat="1" ht="11.25" x14ac:dyDescent="0.2">
      <c r="A31" s="247"/>
      <c r="B31" s="139"/>
      <c r="C31" s="115"/>
      <c r="D31" s="81">
        <f t="shared" ref="D31:D35" si="26">U$3</f>
        <v>0</v>
      </c>
      <c r="E31" s="81">
        <f t="shared" ref="E31:E35" si="27">$U$2</f>
        <v>0</v>
      </c>
      <c r="F31" s="135"/>
      <c r="G31" s="136"/>
      <c r="H31" s="137"/>
      <c r="J31" s="82"/>
      <c r="K31" s="83"/>
      <c r="P31" s="84"/>
      <c r="Q31" s="101"/>
      <c r="R31" s="132"/>
      <c r="S31" s="87"/>
      <c r="T31" s="87"/>
      <c r="U31" s="87"/>
      <c r="V31" s="87"/>
      <c r="W31" s="85"/>
      <c r="X31" s="255"/>
      <c r="Y31" s="255"/>
      <c r="AB31" s="85" t="str">
        <f t="shared" ref="AB31" si="28">IF(AA31&gt;0,AA31*AA31*(Y31*0.22822+1.2),"")</f>
        <v/>
      </c>
      <c r="AC31" s="85" t="str">
        <f t="shared" ref="AC31" si="29">IF(Z31&gt;0,Y31*10/Z31,"")</f>
        <v/>
      </c>
      <c r="AD31" s="86" t="str">
        <f t="shared" ref="AD31" si="30">IF(X31&gt;0,X31/M31/N31/L31*10000,"")</f>
        <v/>
      </c>
      <c r="AE31" s="86" t="str">
        <f t="shared" ref="AE31" si="31">IF(X31&gt;0,X31/L31,"")</f>
        <v/>
      </c>
      <c r="AF31" s="255"/>
      <c r="AG31" s="255"/>
      <c r="AH31" s="255"/>
      <c r="AI31" s="263" t="str">
        <f t="shared" ref="AI31:AI35" si="32">IF(AA31&lt;&gt;"",IF(AB31&gt;270,"overmoden",IF(AB31&lt;200,"umoden","moden")),"")</f>
        <v/>
      </c>
      <c r="AJ31" s="263" t="str">
        <f t="shared" ref="AJ31:AJ35" si="33">IF(Z31&lt;&gt;"",IF(AC31&gt;74.5,"moden","umoden"),"")</f>
        <v/>
      </c>
      <c r="AM31" s="6" t="str">
        <f t="shared" ref="AM31:AM35" si="34">IF($U$4&lt;&gt;"N","E","H")</f>
        <v>H</v>
      </c>
      <c r="AN31" s="6" t="str">
        <f t="shared" ref="AN31:AN35" si="35">IF($C$4&lt;&gt;"","GB",IF($C$5&lt;&gt;"","B",IF($C$6&lt;&gt;"","SØ",IF($C$7&lt;&gt;"","Ø",IF($C$8&lt;&gt;"","GD",IF($C$9&lt;&gt;"","IK",IF($C$10&lt;&gt;"","IP","K")))))))</f>
        <v>K</v>
      </c>
    </row>
    <row r="32" spans="1:40" s="47" customFormat="1" ht="11.25" x14ac:dyDescent="0.2">
      <c r="A32" s="247"/>
      <c r="B32" s="139"/>
      <c r="C32" s="115"/>
      <c r="D32" s="81">
        <f t="shared" si="26"/>
        <v>0</v>
      </c>
      <c r="E32" s="81">
        <f t="shared" si="27"/>
        <v>0</v>
      </c>
      <c r="F32" s="135"/>
      <c r="G32" s="136"/>
      <c r="H32" s="137"/>
      <c r="J32" s="82"/>
      <c r="K32" s="83"/>
      <c r="P32" s="84"/>
      <c r="Q32" s="101"/>
      <c r="R32" s="132"/>
      <c r="S32" s="87"/>
      <c r="T32" s="87"/>
      <c r="U32" s="87"/>
      <c r="V32" s="87"/>
      <c r="W32" s="85"/>
      <c r="X32" s="255"/>
      <c r="Y32" s="255"/>
      <c r="AB32" s="85" t="str">
        <f t="shared" ref="AB32:AB35" si="36">IF(AA32&gt;0,AA32*AA32*(Y32*0.22822+1.2),"")</f>
        <v/>
      </c>
      <c r="AC32" s="85" t="str">
        <f t="shared" ref="AC32:AC35" si="37">IF(Z32&gt;0,Y32*10/Z32,"")</f>
        <v/>
      </c>
      <c r="AD32" s="86" t="str">
        <f t="shared" ref="AD32:AD35" si="38">IF(X32&gt;0,X32/M32/N32/L32*10000,"")</f>
        <v/>
      </c>
      <c r="AE32" s="86" t="str">
        <f t="shared" ref="AE32:AE35" si="39">IF(X32&gt;0,X32/L32,"")</f>
        <v/>
      </c>
      <c r="AF32" s="255"/>
      <c r="AG32" s="255"/>
      <c r="AH32" s="255"/>
      <c r="AI32" s="263" t="str">
        <f t="shared" si="32"/>
        <v/>
      </c>
      <c r="AJ32" s="263" t="str">
        <f t="shared" si="33"/>
        <v/>
      </c>
      <c r="AM32" s="6" t="str">
        <f t="shared" si="34"/>
        <v>H</v>
      </c>
      <c r="AN32" s="6" t="str">
        <f t="shared" si="35"/>
        <v>K</v>
      </c>
    </row>
    <row r="33" spans="1:40" s="47" customFormat="1" ht="11.25" x14ac:dyDescent="0.2">
      <c r="A33" s="247"/>
      <c r="B33" s="139"/>
      <c r="C33" s="115"/>
      <c r="D33" s="81">
        <f t="shared" si="26"/>
        <v>0</v>
      </c>
      <c r="E33" s="81">
        <f t="shared" si="27"/>
        <v>0</v>
      </c>
      <c r="F33" s="135"/>
      <c r="G33" s="136"/>
      <c r="H33" s="137"/>
      <c r="J33" s="82"/>
      <c r="K33" s="83"/>
      <c r="P33" s="84"/>
      <c r="Q33" s="101"/>
      <c r="R33" s="132"/>
      <c r="S33" s="87"/>
      <c r="T33" s="87"/>
      <c r="U33" s="87"/>
      <c r="V33" s="87"/>
      <c r="W33" s="85"/>
      <c r="X33" s="255"/>
      <c r="Y33" s="255"/>
      <c r="AB33" s="85" t="str">
        <f t="shared" si="36"/>
        <v/>
      </c>
      <c r="AC33" s="85" t="str">
        <f t="shared" si="37"/>
        <v/>
      </c>
      <c r="AD33" s="86" t="str">
        <f t="shared" si="38"/>
        <v/>
      </c>
      <c r="AE33" s="86" t="str">
        <f t="shared" si="39"/>
        <v/>
      </c>
      <c r="AF33" s="255"/>
      <c r="AG33" s="255"/>
      <c r="AH33" s="255"/>
      <c r="AI33" s="263" t="str">
        <f t="shared" si="32"/>
        <v/>
      </c>
      <c r="AJ33" s="263" t="str">
        <f t="shared" si="33"/>
        <v/>
      </c>
      <c r="AM33" s="6" t="str">
        <f t="shared" si="34"/>
        <v>H</v>
      </c>
      <c r="AN33" s="6" t="str">
        <f t="shared" si="35"/>
        <v>K</v>
      </c>
    </row>
    <row r="34" spans="1:40" s="47" customFormat="1" ht="11.25" x14ac:dyDescent="0.2">
      <c r="A34" s="247"/>
      <c r="B34" s="139"/>
      <c r="C34" s="115"/>
      <c r="D34" s="81">
        <f t="shared" si="26"/>
        <v>0</v>
      </c>
      <c r="E34" s="81">
        <f t="shared" si="27"/>
        <v>0</v>
      </c>
      <c r="F34" s="135"/>
      <c r="G34" s="136"/>
      <c r="H34" s="137"/>
      <c r="J34" s="82"/>
      <c r="K34" s="83"/>
      <c r="P34" s="84" t="str">
        <f t="shared" ref="P34:P35" si="40">IF(L34*M34*N34/10000&gt;0,L34*M34*N34/10000,"")</f>
        <v/>
      </c>
      <c r="Q34" s="101"/>
      <c r="R34" s="132"/>
      <c r="S34" s="87"/>
      <c r="T34" s="87"/>
      <c r="U34" s="87"/>
      <c r="V34" s="87"/>
      <c r="W34" s="85" t="str">
        <f t="shared" ref="W34:W35" si="41">IF(V34&gt;0,IF(T34&gt;0,V34-T34,V34-$T$36),"")</f>
        <v/>
      </c>
      <c r="X34" s="255"/>
      <c r="Y34" s="255"/>
      <c r="AB34" s="85" t="str">
        <f t="shared" si="36"/>
        <v/>
      </c>
      <c r="AC34" s="85" t="str">
        <f t="shared" si="37"/>
        <v/>
      </c>
      <c r="AD34" s="86" t="str">
        <f t="shared" si="38"/>
        <v/>
      </c>
      <c r="AE34" s="86" t="str">
        <f t="shared" si="39"/>
        <v/>
      </c>
      <c r="AF34" s="255"/>
      <c r="AG34" s="255"/>
      <c r="AH34" s="255"/>
      <c r="AI34" s="263" t="str">
        <f t="shared" si="32"/>
        <v/>
      </c>
      <c r="AJ34" s="263" t="str">
        <f t="shared" si="33"/>
        <v/>
      </c>
      <c r="AM34" s="6" t="str">
        <f t="shared" si="34"/>
        <v>H</v>
      </c>
      <c r="AN34" s="6" t="str">
        <f t="shared" si="35"/>
        <v>K</v>
      </c>
    </row>
    <row r="35" spans="1:40" s="47" customFormat="1" ht="11.25" x14ac:dyDescent="0.2">
      <c r="A35" s="247"/>
      <c r="B35" s="139"/>
      <c r="C35" s="115"/>
      <c r="D35" s="81">
        <f t="shared" si="26"/>
        <v>0</v>
      </c>
      <c r="E35" s="81">
        <f t="shared" si="27"/>
        <v>0</v>
      </c>
      <c r="F35" s="135"/>
      <c r="G35" s="136"/>
      <c r="H35" s="137"/>
      <c r="J35" s="82"/>
      <c r="K35" s="83"/>
      <c r="P35" s="84" t="str">
        <f t="shared" si="40"/>
        <v/>
      </c>
      <c r="Q35" s="101"/>
      <c r="R35" s="132"/>
      <c r="S35" s="87"/>
      <c r="T35" s="87"/>
      <c r="U35" s="87"/>
      <c r="V35" s="87"/>
      <c r="W35" s="85" t="str">
        <f t="shared" si="41"/>
        <v/>
      </c>
      <c r="X35" s="255"/>
      <c r="Y35" s="255"/>
      <c r="AB35" s="85" t="str">
        <f t="shared" si="36"/>
        <v/>
      </c>
      <c r="AC35" s="85" t="str">
        <f t="shared" si="37"/>
        <v/>
      </c>
      <c r="AD35" s="86" t="str">
        <f t="shared" si="38"/>
        <v/>
      </c>
      <c r="AE35" s="86" t="str">
        <f t="shared" si="39"/>
        <v/>
      </c>
      <c r="AF35" s="255"/>
      <c r="AG35" s="255"/>
      <c r="AH35" s="255"/>
      <c r="AI35" s="263" t="str">
        <f t="shared" si="32"/>
        <v/>
      </c>
      <c r="AJ35" s="263" t="str">
        <f t="shared" si="33"/>
        <v/>
      </c>
      <c r="AM35" s="6" t="str">
        <f t="shared" si="34"/>
        <v>H</v>
      </c>
      <c r="AN35" s="6" t="str">
        <f t="shared" si="35"/>
        <v>K</v>
      </c>
    </row>
    <row r="36" spans="1:40" s="47" customFormat="1" ht="16.5" thickBot="1" x14ac:dyDescent="0.3">
      <c r="A36" s="244" t="s">
        <v>290</v>
      </c>
      <c r="B36" s="139"/>
      <c r="C36" s="115"/>
      <c r="F36" s="135"/>
      <c r="G36" s="136"/>
      <c r="H36" s="137"/>
      <c r="J36" s="82"/>
      <c r="K36" s="83"/>
      <c r="Q36" s="101"/>
      <c r="R36" s="132"/>
      <c r="S36" s="87"/>
      <c r="T36" s="87"/>
      <c r="U36" s="87"/>
      <c r="V36" s="87"/>
      <c r="X36" s="114">
        <f>SUM(X31:X35)</f>
        <v>0</v>
      </c>
      <c r="Y36" s="255"/>
      <c r="AF36" s="255"/>
      <c r="AG36" s="255"/>
      <c r="AH36" s="255"/>
      <c r="AI36" s="88"/>
      <c r="AJ36" s="88"/>
      <c r="AN36" s="82"/>
    </row>
    <row r="37" spans="1:40" s="47" customFormat="1" ht="12" thickTop="1" x14ac:dyDescent="0.2">
      <c r="A37" s="247"/>
      <c r="B37" s="139"/>
      <c r="C37" s="115" t="s">
        <v>85</v>
      </c>
      <c r="F37" s="135"/>
      <c r="G37" s="136"/>
      <c r="H37" s="137"/>
      <c r="J37" s="82"/>
      <c r="K37" s="83"/>
      <c r="Q37" s="101"/>
      <c r="R37" s="132"/>
      <c r="S37" s="87" t="s">
        <v>146</v>
      </c>
      <c r="T37" s="87"/>
      <c r="U37" s="87"/>
      <c r="V37" s="87"/>
      <c r="X37" s="255"/>
      <c r="Y37" s="255"/>
      <c r="AF37" s="255"/>
      <c r="AG37" s="255"/>
      <c r="AH37" s="255"/>
      <c r="AI37" s="88"/>
      <c r="AJ37" s="88"/>
      <c r="AN37" s="82"/>
    </row>
    <row r="38" spans="1:40" s="47" customFormat="1" ht="12.75" x14ac:dyDescent="0.2">
      <c r="A38" s="247" t="s">
        <v>147</v>
      </c>
      <c r="B38" s="139" t="s">
        <v>236</v>
      </c>
      <c r="C38" s="115" t="s">
        <v>256</v>
      </c>
      <c r="D38" s="115" t="s">
        <v>257</v>
      </c>
      <c r="F38" s="135"/>
      <c r="G38" s="136"/>
      <c r="H38" s="137"/>
      <c r="J38" s="82"/>
      <c r="K38" s="83"/>
      <c r="Q38" s="101" t="s">
        <v>32</v>
      </c>
      <c r="R38" s="102" t="s">
        <v>33</v>
      </c>
      <c r="S38" s="102"/>
      <c r="T38" s="56"/>
      <c r="U38" s="87"/>
      <c r="V38" s="87"/>
      <c r="X38" s="255"/>
      <c r="Y38" s="255"/>
      <c r="AB38" s="47" t="s">
        <v>57</v>
      </c>
      <c r="AF38" s="261"/>
      <c r="AG38" s="261"/>
      <c r="AH38" s="261"/>
      <c r="AI38" s="88" t="s">
        <v>57</v>
      </c>
      <c r="AJ38" s="88"/>
      <c r="AN38" s="82"/>
    </row>
    <row r="39" spans="1:40" x14ac:dyDescent="0.25">
      <c r="A39" s="247" t="s">
        <v>148</v>
      </c>
      <c r="B39" s="139" t="s">
        <v>237</v>
      </c>
      <c r="C39" s="115" t="s">
        <v>255</v>
      </c>
      <c r="D39" s="115" t="s">
        <v>258</v>
      </c>
      <c r="F39" s="128"/>
      <c r="G39" s="92"/>
      <c r="H39" s="111"/>
      <c r="Q39" s="101" t="s">
        <v>34</v>
      </c>
      <c r="R39" s="102" t="s">
        <v>35</v>
      </c>
      <c r="S39" s="102"/>
      <c r="AF39" s="257"/>
      <c r="AG39" s="257"/>
      <c r="AH39" s="257"/>
    </row>
    <row r="40" spans="1:40" x14ac:dyDescent="0.25">
      <c r="A40" s="247" t="s">
        <v>149</v>
      </c>
      <c r="B40" s="139" t="s">
        <v>238</v>
      </c>
      <c r="F40" s="89" t="s">
        <v>86</v>
      </c>
      <c r="G40" s="128"/>
      <c r="H40" s="111"/>
      <c r="Q40" s="101" t="s">
        <v>36</v>
      </c>
      <c r="R40" s="102" t="s">
        <v>37</v>
      </c>
      <c r="S40" s="102"/>
      <c r="AF40" s="257"/>
      <c r="AG40" s="257"/>
      <c r="AH40" s="257"/>
    </row>
    <row r="41" spans="1:40" x14ac:dyDescent="0.25">
      <c r="A41" s="247" t="s">
        <v>150</v>
      </c>
      <c r="B41" s="139" t="s">
        <v>249</v>
      </c>
      <c r="F41" s="128" t="s">
        <v>259</v>
      </c>
      <c r="G41" s="129" t="s">
        <v>260</v>
      </c>
      <c r="H41" s="128"/>
      <c r="I41" s="129"/>
      <c r="L41" s="61"/>
      <c r="Q41" s="101" t="s">
        <v>38</v>
      </c>
      <c r="R41" s="102" t="s">
        <v>39</v>
      </c>
      <c r="S41" s="102"/>
      <c r="AF41" s="257"/>
      <c r="AG41" s="257"/>
      <c r="AH41" s="257"/>
    </row>
    <row r="42" spans="1:40" x14ac:dyDescent="0.25">
      <c r="A42" s="247" t="s">
        <v>151</v>
      </c>
      <c r="B42" s="139" t="s">
        <v>250</v>
      </c>
      <c r="F42" s="128" t="s">
        <v>261</v>
      </c>
      <c r="G42" s="129" t="s">
        <v>262</v>
      </c>
      <c r="H42" s="128"/>
      <c r="I42" s="129"/>
      <c r="L42" s="61"/>
      <c r="Q42" s="101" t="s">
        <v>42</v>
      </c>
      <c r="R42" s="102" t="s">
        <v>43</v>
      </c>
      <c r="S42" s="102"/>
      <c r="AF42" s="257"/>
      <c r="AG42" s="257"/>
      <c r="AH42" s="257"/>
    </row>
    <row r="43" spans="1:40" x14ac:dyDescent="0.25">
      <c r="A43" s="247" t="s">
        <v>152</v>
      </c>
      <c r="B43" s="139" t="s">
        <v>239</v>
      </c>
      <c r="F43" s="128" t="s">
        <v>263</v>
      </c>
      <c r="G43" s="129" t="s">
        <v>264</v>
      </c>
      <c r="H43" s="128"/>
      <c r="I43" s="129"/>
      <c r="L43" s="61"/>
      <c r="Q43" s="101" t="s">
        <v>78</v>
      </c>
      <c r="R43" s="104" t="s">
        <v>79</v>
      </c>
      <c r="S43" s="104"/>
      <c r="AF43" s="257"/>
      <c r="AG43" s="257"/>
      <c r="AH43" s="257"/>
    </row>
    <row r="44" spans="1:40" x14ac:dyDescent="0.25">
      <c r="A44" s="247" t="s">
        <v>153</v>
      </c>
      <c r="B44" s="139" t="s">
        <v>240</v>
      </c>
      <c r="F44" s="128" t="s">
        <v>265</v>
      </c>
      <c r="G44" s="129" t="s">
        <v>266</v>
      </c>
      <c r="H44" s="128"/>
      <c r="I44" s="129"/>
      <c r="L44" s="61"/>
      <c r="Q44" s="101" t="s">
        <v>253</v>
      </c>
      <c r="R44" s="102"/>
      <c r="S44" s="102"/>
      <c r="AF44" s="257"/>
      <c r="AG44" s="257"/>
      <c r="AH44" s="257"/>
    </row>
    <row r="45" spans="1:40" x14ac:dyDescent="0.25">
      <c r="A45" s="247" t="s">
        <v>154</v>
      </c>
      <c r="B45" s="140" t="s">
        <v>241</v>
      </c>
      <c r="G45" s="90" t="s">
        <v>30</v>
      </c>
      <c r="H45" s="90"/>
      <c r="I45" s="91"/>
      <c r="J45" s="92"/>
      <c r="K45" s="93"/>
      <c r="L45" s="91"/>
      <c r="M45" s="91"/>
      <c r="N45" s="91"/>
      <c r="O45" s="91"/>
      <c r="P45" s="91"/>
      <c r="Q45" s="101" t="s">
        <v>40</v>
      </c>
      <c r="R45" s="102" t="s">
        <v>60</v>
      </c>
      <c r="S45" s="102"/>
      <c r="AF45" s="257"/>
      <c r="AG45" s="257"/>
      <c r="AH45" s="257"/>
    </row>
    <row r="46" spans="1:40" x14ac:dyDescent="0.25">
      <c r="A46" s="247" t="s">
        <v>155</v>
      </c>
      <c r="B46" s="139" t="s">
        <v>242</v>
      </c>
      <c r="G46" s="94" t="s">
        <v>44</v>
      </c>
      <c r="H46" s="94"/>
      <c r="I46" s="95"/>
      <c r="J46" s="96"/>
      <c r="K46" s="97"/>
      <c r="L46" s="96"/>
      <c r="M46" s="96"/>
      <c r="N46" s="96"/>
      <c r="O46" s="98"/>
      <c r="P46" s="98"/>
      <c r="Q46" s="101" t="s">
        <v>41</v>
      </c>
      <c r="R46" s="102"/>
      <c r="S46" s="102"/>
      <c r="U46" s="99" t="s">
        <v>145</v>
      </c>
      <c r="AF46" s="257" t="s">
        <v>66</v>
      </c>
      <c r="AG46" s="257"/>
      <c r="AH46" s="257"/>
      <c r="AI46" s="256"/>
      <c r="AJ46" s="256"/>
      <c r="AK46" s="100"/>
      <c r="AL46" s="100"/>
      <c r="AM46" s="100"/>
      <c r="AN46" s="127"/>
    </row>
    <row r="47" spans="1:40" x14ac:dyDescent="0.25">
      <c r="A47" s="247" t="s">
        <v>156</v>
      </c>
      <c r="B47" s="139" t="s">
        <v>243</v>
      </c>
      <c r="G47" s="94">
        <v>1</v>
      </c>
      <c r="H47" s="94"/>
      <c r="I47" s="266" t="s">
        <v>45</v>
      </c>
      <c r="J47" s="267"/>
      <c r="K47" s="267"/>
      <c r="L47" s="267"/>
      <c r="M47" s="267"/>
      <c r="N47" s="267"/>
      <c r="O47" s="267"/>
      <c r="P47" s="268"/>
      <c r="R47" s="132" t="s">
        <v>268</v>
      </c>
      <c r="S47" s="133" t="s">
        <v>269</v>
      </c>
      <c r="T47" s="131"/>
      <c r="U47" s="103"/>
      <c r="AF47" s="257" t="s">
        <v>88</v>
      </c>
      <c r="AG47" s="257"/>
      <c r="AH47" s="257"/>
      <c r="AI47" s="256"/>
      <c r="AJ47" s="256"/>
      <c r="AK47" s="100"/>
      <c r="AL47" s="100"/>
      <c r="AM47" s="100"/>
      <c r="AN47" s="127"/>
    </row>
    <row r="48" spans="1:40" x14ac:dyDescent="0.25">
      <c r="A48" s="247" t="s">
        <v>157</v>
      </c>
      <c r="B48" s="139" t="s">
        <v>244</v>
      </c>
      <c r="G48" s="94">
        <v>2</v>
      </c>
      <c r="H48" s="94"/>
      <c r="I48" s="266" t="s">
        <v>46</v>
      </c>
      <c r="J48" s="267"/>
      <c r="K48" s="267"/>
      <c r="L48" s="267"/>
      <c r="M48" s="267"/>
      <c r="N48" s="267"/>
      <c r="O48" s="267"/>
      <c r="P48" s="98"/>
      <c r="R48" s="132" t="s">
        <v>270</v>
      </c>
      <c r="S48" s="133" t="s">
        <v>271</v>
      </c>
      <c r="T48" s="131"/>
      <c r="U48" s="103"/>
      <c r="AF48" s="257"/>
      <c r="AG48" s="257"/>
      <c r="AH48" s="257"/>
      <c r="AI48" s="256"/>
      <c r="AJ48" s="256"/>
      <c r="AK48" s="100"/>
      <c r="AL48" s="100"/>
      <c r="AM48" s="100"/>
      <c r="AN48" s="127"/>
    </row>
    <row r="49" spans="1:40" x14ac:dyDescent="0.25">
      <c r="A49" s="247" t="s">
        <v>158</v>
      </c>
      <c r="B49" s="139" t="s">
        <v>245</v>
      </c>
      <c r="G49" s="94">
        <v>3</v>
      </c>
      <c r="H49" s="94"/>
      <c r="I49" s="266" t="s">
        <v>47</v>
      </c>
      <c r="J49" s="267"/>
      <c r="K49" s="267"/>
      <c r="L49" s="267"/>
      <c r="M49" s="267"/>
      <c r="N49" s="267"/>
      <c r="O49" s="267"/>
      <c r="P49" s="268"/>
      <c r="R49" s="132" t="s">
        <v>272</v>
      </c>
      <c r="S49" s="133" t="s">
        <v>273</v>
      </c>
      <c r="T49" s="131"/>
      <c r="U49" s="103"/>
      <c r="AF49" s="257" t="s">
        <v>67</v>
      </c>
      <c r="AG49" s="257">
        <v>1</v>
      </c>
      <c r="AH49" s="257" t="s">
        <v>68</v>
      </c>
      <c r="AI49" s="256"/>
      <c r="AJ49" s="256"/>
      <c r="AK49" s="100"/>
      <c r="AL49" s="100"/>
      <c r="AM49" s="100"/>
      <c r="AN49" s="127"/>
    </row>
    <row r="50" spans="1:40" x14ac:dyDescent="0.25">
      <c r="A50" s="246" t="s">
        <v>159</v>
      </c>
      <c r="B50" s="139" t="s">
        <v>246</v>
      </c>
      <c r="G50" s="94">
        <v>4</v>
      </c>
      <c r="H50" s="94"/>
      <c r="I50" s="266" t="s">
        <v>48</v>
      </c>
      <c r="J50" s="267"/>
      <c r="K50" s="267"/>
      <c r="L50" s="267"/>
      <c r="M50" s="267"/>
      <c r="N50" s="267"/>
      <c r="O50" s="267"/>
      <c r="P50" s="268"/>
      <c r="R50" s="132" t="s">
        <v>274</v>
      </c>
      <c r="S50" s="133" t="s">
        <v>275</v>
      </c>
      <c r="T50" s="131"/>
      <c r="U50" s="103"/>
      <c r="AF50" s="257"/>
      <c r="AG50" s="257">
        <v>2</v>
      </c>
      <c r="AH50" s="257" t="s">
        <v>69</v>
      </c>
      <c r="AI50" s="256"/>
      <c r="AJ50" s="256" t="s">
        <v>73</v>
      </c>
      <c r="AK50" s="100"/>
      <c r="AL50" s="100"/>
      <c r="AM50" s="100"/>
      <c r="AN50" s="127"/>
    </row>
    <row r="51" spans="1:40" x14ac:dyDescent="0.25">
      <c r="A51" s="247" t="s">
        <v>160</v>
      </c>
      <c r="B51" s="139" t="s">
        <v>247</v>
      </c>
      <c r="G51" s="94">
        <v>5</v>
      </c>
      <c r="H51" s="94"/>
      <c r="I51" s="266" t="s">
        <v>49</v>
      </c>
      <c r="J51" s="267"/>
      <c r="K51" s="267"/>
      <c r="L51" s="267"/>
      <c r="M51" s="267"/>
      <c r="N51" s="267"/>
      <c r="O51" s="267"/>
      <c r="P51" s="268"/>
      <c r="R51" s="132" t="s">
        <v>276</v>
      </c>
      <c r="S51" s="133" t="s">
        <v>277</v>
      </c>
      <c r="T51" s="131"/>
      <c r="U51" s="103"/>
      <c r="AF51" s="257"/>
      <c r="AG51" s="257">
        <v>3</v>
      </c>
      <c r="AH51" s="257" t="s">
        <v>70</v>
      </c>
      <c r="AI51" s="256"/>
      <c r="AJ51" s="256" t="s">
        <v>74</v>
      </c>
      <c r="AK51" s="100"/>
      <c r="AL51" s="100"/>
      <c r="AM51" s="100"/>
      <c r="AN51" s="127"/>
    </row>
    <row r="52" spans="1:40" x14ac:dyDescent="0.25">
      <c r="A52" s="247" t="s">
        <v>161</v>
      </c>
      <c r="B52" s="140" t="s">
        <v>248</v>
      </c>
      <c r="G52" s="94">
        <v>6</v>
      </c>
      <c r="H52" s="94"/>
      <c r="I52" s="266" t="s">
        <v>50</v>
      </c>
      <c r="J52" s="267"/>
      <c r="K52" s="267"/>
      <c r="L52" s="267"/>
      <c r="M52" s="267"/>
      <c r="N52" s="267"/>
      <c r="O52" s="267"/>
      <c r="P52" s="98"/>
      <c r="R52" s="132" t="s">
        <v>278</v>
      </c>
      <c r="S52" s="133" t="s">
        <v>279</v>
      </c>
      <c r="T52" s="131"/>
      <c r="U52" s="103"/>
      <c r="AF52" s="257"/>
      <c r="AG52" s="257">
        <v>4</v>
      </c>
      <c r="AH52" s="257" t="s">
        <v>71</v>
      </c>
      <c r="AI52" s="256"/>
      <c r="AJ52" s="256" t="s">
        <v>76</v>
      </c>
      <c r="AK52" s="100"/>
      <c r="AL52" s="100"/>
      <c r="AM52" s="100"/>
      <c r="AN52" s="127"/>
    </row>
    <row r="53" spans="1:40" x14ac:dyDescent="0.25">
      <c r="A53" s="247" t="s">
        <v>162</v>
      </c>
      <c r="B53" s="48"/>
      <c r="G53" s="94">
        <v>7</v>
      </c>
      <c r="H53" s="94"/>
      <c r="I53" s="266" t="s">
        <v>51</v>
      </c>
      <c r="J53" s="267"/>
      <c r="K53" s="267"/>
      <c r="L53" s="267"/>
      <c r="M53" s="267"/>
      <c r="N53" s="267"/>
      <c r="O53" s="267"/>
      <c r="P53" s="98"/>
      <c r="R53" s="132" t="s">
        <v>280</v>
      </c>
      <c r="S53" s="133" t="s">
        <v>281</v>
      </c>
      <c r="T53" s="131"/>
      <c r="U53" s="103"/>
      <c r="AF53" s="257"/>
      <c r="AG53" s="257">
        <v>5</v>
      </c>
      <c r="AH53" s="257" t="s">
        <v>72</v>
      </c>
      <c r="AI53" s="256"/>
      <c r="AJ53" s="256" t="s">
        <v>75</v>
      </c>
      <c r="AK53" s="100"/>
      <c r="AL53" s="100"/>
      <c r="AM53" s="100"/>
      <c r="AN53" s="127"/>
    </row>
    <row r="54" spans="1:40" x14ac:dyDescent="0.25">
      <c r="A54" s="247" t="s">
        <v>163</v>
      </c>
      <c r="B54" s="48"/>
      <c r="G54" s="94">
        <v>8</v>
      </c>
      <c r="H54" s="94"/>
      <c r="I54" s="266" t="s">
        <v>52</v>
      </c>
      <c r="J54" s="267"/>
      <c r="K54" s="267"/>
      <c r="L54" s="267"/>
      <c r="M54" s="267"/>
      <c r="N54" s="267"/>
      <c r="O54" s="267"/>
      <c r="P54" s="98"/>
      <c r="R54" s="132" t="s">
        <v>282</v>
      </c>
      <c r="S54" s="133" t="s">
        <v>283</v>
      </c>
      <c r="T54" s="131"/>
      <c r="U54" s="103"/>
    </row>
    <row r="55" spans="1:40" x14ac:dyDescent="0.25">
      <c r="A55" s="247" t="s">
        <v>164</v>
      </c>
      <c r="B55" s="48"/>
      <c r="G55" s="94">
        <v>9</v>
      </c>
      <c r="H55" s="94"/>
      <c r="I55" s="266" t="s">
        <v>53</v>
      </c>
      <c r="J55" s="267"/>
      <c r="K55" s="267"/>
      <c r="L55" s="267"/>
      <c r="M55" s="267"/>
      <c r="N55" s="267"/>
      <c r="O55" s="267"/>
      <c r="P55" s="268"/>
      <c r="R55" s="132" t="s">
        <v>284</v>
      </c>
      <c r="S55" s="133" t="s">
        <v>285</v>
      </c>
      <c r="T55" s="131"/>
    </row>
    <row r="56" spans="1:40" x14ac:dyDescent="0.25">
      <c r="A56" s="247" t="s">
        <v>165</v>
      </c>
      <c r="B56" s="48"/>
      <c r="G56" s="94">
        <v>10</v>
      </c>
      <c r="H56" s="94"/>
      <c r="I56" s="105" t="s">
        <v>54</v>
      </c>
      <c r="J56" s="106"/>
      <c r="K56" s="107"/>
      <c r="L56" s="106"/>
      <c r="M56" s="106"/>
      <c r="N56" s="106"/>
      <c r="O56" s="108"/>
      <c r="P56" s="98"/>
      <c r="R56" s="134" t="s">
        <v>288</v>
      </c>
      <c r="S56" s="131"/>
      <c r="T56" s="131"/>
      <c r="U56" s="131"/>
    </row>
    <row r="57" spans="1:40" x14ac:dyDescent="0.25">
      <c r="A57" s="246" t="s">
        <v>166</v>
      </c>
      <c r="B57" s="48"/>
      <c r="G57" s="94">
        <v>11</v>
      </c>
      <c r="H57" s="94"/>
      <c r="I57" s="266" t="s">
        <v>55</v>
      </c>
      <c r="J57" s="267"/>
      <c r="K57" s="267"/>
      <c r="L57" s="267"/>
      <c r="M57" s="267"/>
      <c r="N57" s="267"/>
      <c r="O57" s="267"/>
      <c r="P57" s="98"/>
      <c r="R57" s="134" t="s">
        <v>289</v>
      </c>
      <c r="S57" s="131"/>
      <c r="T57" s="131"/>
      <c r="U57" s="131"/>
    </row>
    <row r="58" spans="1:40" x14ac:dyDescent="0.25">
      <c r="A58" s="247" t="s">
        <v>167</v>
      </c>
      <c r="B58" s="48"/>
      <c r="G58" s="94">
        <v>12</v>
      </c>
      <c r="H58" s="94"/>
      <c r="I58" s="266" t="s">
        <v>56</v>
      </c>
      <c r="J58" s="267"/>
      <c r="K58" s="267"/>
      <c r="L58" s="267"/>
      <c r="M58" s="267"/>
      <c r="N58" s="267"/>
      <c r="O58" s="267"/>
      <c r="P58" s="98"/>
      <c r="R58" s="82"/>
      <c r="S58" s="87"/>
    </row>
    <row r="59" spans="1:40" x14ac:dyDescent="0.25">
      <c r="A59" s="247" t="s">
        <v>168</v>
      </c>
      <c r="B59" s="49"/>
      <c r="H59" s="111"/>
      <c r="R59" s="82"/>
      <c r="S59" s="87"/>
    </row>
    <row r="60" spans="1:40" x14ac:dyDescent="0.25">
      <c r="A60" s="247" t="s">
        <v>169</v>
      </c>
      <c r="B60" s="48"/>
      <c r="H60" s="109" t="s">
        <v>80</v>
      </c>
      <c r="I60" s="110"/>
      <c r="J60" s="111"/>
      <c r="K60" s="112"/>
      <c r="L60" s="110"/>
      <c r="R60" s="82"/>
      <c r="S60" s="87"/>
    </row>
    <row r="61" spans="1:40" x14ac:dyDescent="0.25">
      <c r="A61" s="247" t="s">
        <v>170</v>
      </c>
      <c r="B61" s="48"/>
      <c r="H61" s="113" t="s">
        <v>81</v>
      </c>
      <c r="I61" s="110"/>
      <c r="J61" s="111"/>
      <c r="K61" s="112"/>
      <c r="L61" s="110"/>
      <c r="R61" s="82"/>
      <c r="S61" s="87"/>
    </row>
    <row r="62" spans="1:40" x14ac:dyDescent="0.25">
      <c r="A62" s="247" t="s">
        <v>171</v>
      </c>
      <c r="B62" s="48"/>
      <c r="H62" s="113" t="s">
        <v>83</v>
      </c>
      <c r="I62" s="110"/>
      <c r="J62" s="111"/>
      <c r="K62" s="112"/>
      <c r="L62" s="110"/>
      <c r="R62" s="82"/>
      <c r="S62" s="87"/>
    </row>
    <row r="63" spans="1:40" x14ac:dyDescent="0.25">
      <c r="A63" s="247" t="s">
        <v>172</v>
      </c>
      <c r="B63" s="48"/>
      <c r="H63" s="113" t="s">
        <v>82</v>
      </c>
      <c r="I63" s="110"/>
      <c r="J63" s="111"/>
      <c r="K63" s="112"/>
      <c r="L63" s="110"/>
      <c r="R63" s="82"/>
      <c r="S63" s="87"/>
    </row>
    <row r="64" spans="1:40" x14ac:dyDescent="0.25">
      <c r="A64" s="247" t="s">
        <v>173</v>
      </c>
      <c r="B64" s="49"/>
      <c r="H64" s="113" t="s">
        <v>84</v>
      </c>
      <c r="I64" s="110"/>
      <c r="J64" s="111"/>
      <c r="K64" s="112"/>
      <c r="L64" s="110"/>
      <c r="R64" s="82"/>
      <c r="S64" s="87"/>
    </row>
    <row r="65" spans="1:18" x14ac:dyDescent="0.25">
      <c r="A65" s="247" t="s">
        <v>174</v>
      </c>
      <c r="B65" s="48"/>
      <c r="R65" s="48"/>
    </row>
    <row r="66" spans="1:18" x14ac:dyDescent="0.25">
      <c r="A66" s="247" t="s">
        <v>175</v>
      </c>
      <c r="B66" s="48"/>
      <c r="R66" s="48"/>
    </row>
    <row r="67" spans="1:18" x14ac:dyDescent="0.25">
      <c r="A67" s="247" t="s">
        <v>176</v>
      </c>
      <c r="B67" s="49"/>
    </row>
    <row r="68" spans="1:18" x14ac:dyDescent="0.25">
      <c r="A68" s="247" t="s">
        <v>177</v>
      </c>
      <c r="B68" s="48"/>
    </row>
    <row r="69" spans="1:18" x14ac:dyDescent="0.25">
      <c r="A69" s="246" t="s">
        <v>178</v>
      </c>
      <c r="B69" s="48"/>
    </row>
    <row r="70" spans="1:18" x14ac:dyDescent="0.25">
      <c r="A70" s="247" t="s">
        <v>179</v>
      </c>
      <c r="B70" s="49"/>
    </row>
    <row r="71" spans="1:18" x14ac:dyDescent="0.25">
      <c r="A71" s="247" t="s">
        <v>180</v>
      </c>
      <c r="B71" s="48"/>
    </row>
    <row r="72" spans="1:18" x14ac:dyDescent="0.25">
      <c r="A72" s="247" t="s">
        <v>181</v>
      </c>
      <c r="B72" s="48"/>
    </row>
    <row r="73" spans="1:18" x14ac:dyDescent="0.25">
      <c r="A73" s="247" t="s">
        <v>182</v>
      </c>
      <c r="B73" s="48"/>
    </row>
    <row r="74" spans="1:18" x14ac:dyDescent="0.25">
      <c r="A74" s="248" t="s">
        <v>183</v>
      </c>
      <c r="B74" s="49"/>
    </row>
    <row r="75" spans="1:18" x14ac:dyDescent="0.25">
      <c r="A75" s="247" t="s">
        <v>184</v>
      </c>
      <c r="B75" s="48"/>
    </row>
    <row r="76" spans="1:18" x14ac:dyDescent="0.25">
      <c r="A76" s="247" t="s">
        <v>185</v>
      </c>
      <c r="B76" s="49"/>
    </row>
    <row r="77" spans="1:18" x14ac:dyDescent="0.25">
      <c r="A77" s="247" t="s">
        <v>186</v>
      </c>
      <c r="B77" s="48"/>
    </row>
    <row r="78" spans="1:18" x14ac:dyDescent="0.25">
      <c r="A78" s="247" t="s">
        <v>187</v>
      </c>
      <c r="B78" s="48"/>
    </row>
    <row r="79" spans="1:18" x14ac:dyDescent="0.25">
      <c r="A79" s="247" t="s">
        <v>188</v>
      </c>
      <c r="B79" s="48"/>
    </row>
    <row r="80" spans="1:18" x14ac:dyDescent="0.25">
      <c r="A80" s="247" t="s">
        <v>189</v>
      </c>
      <c r="B80" s="48"/>
    </row>
    <row r="81" spans="1:2" x14ac:dyDescent="0.25">
      <c r="A81" s="247" t="s">
        <v>190</v>
      </c>
      <c r="B81" s="48"/>
    </row>
    <row r="82" spans="1:2" x14ac:dyDescent="0.25">
      <c r="A82" s="247" t="s">
        <v>191</v>
      </c>
      <c r="B82" s="48"/>
    </row>
    <row r="83" spans="1:2" x14ac:dyDescent="0.25">
      <c r="A83" s="246" t="s">
        <v>192</v>
      </c>
      <c r="B83" s="48"/>
    </row>
    <row r="84" spans="1:2" x14ac:dyDescent="0.25">
      <c r="A84" s="248" t="s">
        <v>193</v>
      </c>
      <c r="B84" s="48"/>
    </row>
    <row r="85" spans="1:2" x14ac:dyDescent="0.25">
      <c r="A85" s="247" t="s">
        <v>194</v>
      </c>
      <c r="B85" s="48"/>
    </row>
    <row r="86" spans="1:2" x14ac:dyDescent="0.25">
      <c r="A86" s="247" t="s">
        <v>195</v>
      </c>
      <c r="B86" s="48"/>
    </row>
    <row r="87" spans="1:2" x14ac:dyDescent="0.25">
      <c r="A87" s="247" t="s">
        <v>196</v>
      </c>
      <c r="B87" s="49"/>
    </row>
    <row r="88" spans="1:2" x14ac:dyDescent="0.25">
      <c r="A88" s="248" t="s">
        <v>197</v>
      </c>
      <c r="B88" s="48"/>
    </row>
    <row r="89" spans="1:2" x14ac:dyDescent="0.25">
      <c r="A89" s="247" t="s">
        <v>198</v>
      </c>
      <c r="B89" s="48"/>
    </row>
    <row r="90" spans="1:2" x14ac:dyDescent="0.25">
      <c r="A90" s="247" t="s">
        <v>199</v>
      </c>
      <c r="B90" s="48"/>
    </row>
    <row r="91" spans="1:2" x14ac:dyDescent="0.25">
      <c r="A91" s="247" t="s">
        <v>200</v>
      </c>
      <c r="B91" s="48"/>
    </row>
    <row r="92" spans="1:2" x14ac:dyDescent="0.25">
      <c r="A92" s="246" t="s">
        <v>201</v>
      </c>
      <c r="B92" s="48"/>
    </row>
    <row r="93" spans="1:2" x14ac:dyDescent="0.25">
      <c r="A93" s="247" t="s">
        <v>202</v>
      </c>
      <c r="B93" s="48"/>
    </row>
    <row r="94" spans="1:2" x14ac:dyDescent="0.25">
      <c r="A94" s="247" t="s">
        <v>203</v>
      </c>
      <c r="B94" s="49"/>
    </row>
    <row r="95" spans="1:2" x14ac:dyDescent="0.25">
      <c r="A95" s="247" t="s">
        <v>204</v>
      </c>
      <c r="B95" s="48"/>
    </row>
    <row r="96" spans="1:2" x14ac:dyDescent="0.25">
      <c r="A96" s="247" t="s">
        <v>205</v>
      </c>
      <c r="B96" s="49"/>
    </row>
    <row r="97" spans="1:2" x14ac:dyDescent="0.25">
      <c r="A97" s="247" t="s">
        <v>206</v>
      </c>
      <c r="B97" s="48"/>
    </row>
    <row r="98" spans="1:2" x14ac:dyDescent="0.25">
      <c r="A98" s="247" t="s">
        <v>207</v>
      </c>
      <c r="B98" s="49"/>
    </row>
    <row r="99" spans="1:2" x14ac:dyDescent="0.25">
      <c r="A99" s="247" t="s">
        <v>208</v>
      </c>
      <c r="B99" s="48"/>
    </row>
    <row r="100" spans="1:2" x14ac:dyDescent="0.25">
      <c r="A100" s="247" t="s">
        <v>209</v>
      </c>
      <c r="B100" s="49"/>
    </row>
    <row r="101" spans="1:2" x14ac:dyDescent="0.25">
      <c r="A101" s="246" t="s">
        <v>210</v>
      </c>
      <c r="B101" s="48"/>
    </row>
    <row r="102" spans="1:2" x14ac:dyDescent="0.25">
      <c r="A102" s="247" t="s">
        <v>211</v>
      </c>
      <c r="B102" s="48"/>
    </row>
    <row r="103" spans="1:2" x14ac:dyDescent="0.25">
      <c r="A103" s="247" t="s">
        <v>212</v>
      </c>
      <c r="B103" s="48"/>
    </row>
    <row r="104" spans="1:2" x14ac:dyDescent="0.25">
      <c r="A104" s="247" t="s">
        <v>213</v>
      </c>
      <c r="B104" s="48"/>
    </row>
    <row r="105" spans="1:2" x14ac:dyDescent="0.25">
      <c r="A105" s="247" t="s">
        <v>214</v>
      </c>
      <c r="B105" s="49"/>
    </row>
    <row r="106" spans="1:2" x14ac:dyDescent="0.25">
      <c r="A106" s="247" t="s">
        <v>215</v>
      </c>
      <c r="B106" s="48"/>
    </row>
    <row r="107" spans="1:2" x14ac:dyDescent="0.25">
      <c r="A107" s="247" t="s">
        <v>216</v>
      </c>
      <c r="B107" s="48"/>
    </row>
    <row r="108" spans="1:2" x14ac:dyDescent="0.25">
      <c r="A108" s="247" t="s">
        <v>217</v>
      </c>
      <c r="B108" s="48"/>
    </row>
    <row r="109" spans="1:2" x14ac:dyDescent="0.25">
      <c r="A109" s="247" t="s">
        <v>218</v>
      </c>
      <c r="B109" s="49"/>
    </row>
    <row r="110" spans="1:2" x14ac:dyDescent="0.25">
      <c r="A110" s="247" t="s">
        <v>219</v>
      </c>
      <c r="B110" s="48"/>
    </row>
    <row r="111" spans="1:2" x14ac:dyDescent="0.25">
      <c r="A111" s="247" t="s">
        <v>220</v>
      </c>
      <c r="B111" s="48"/>
    </row>
    <row r="112" spans="1:2" x14ac:dyDescent="0.25">
      <c r="A112" s="247" t="s">
        <v>221</v>
      </c>
      <c r="B112" s="48"/>
    </row>
    <row r="113" spans="1:2" x14ac:dyDescent="0.25">
      <c r="A113" s="247" t="s">
        <v>222</v>
      </c>
      <c r="B113" s="48"/>
    </row>
    <row r="114" spans="1:2" x14ac:dyDescent="0.25">
      <c r="A114" s="247" t="s">
        <v>223</v>
      </c>
      <c r="B114" s="48"/>
    </row>
    <row r="115" spans="1:2" x14ac:dyDescent="0.25">
      <c r="A115" s="247" t="s">
        <v>224</v>
      </c>
      <c r="B115" s="49"/>
    </row>
    <row r="116" spans="1:2" x14ac:dyDescent="0.25">
      <c r="A116" s="247" t="s">
        <v>225</v>
      </c>
      <c r="B116" s="48"/>
    </row>
    <row r="117" spans="1:2" x14ac:dyDescent="0.25">
      <c r="A117" s="247" t="s">
        <v>226</v>
      </c>
      <c r="B117" s="49"/>
    </row>
    <row r="118" spans="1:2" x14ac:dyDescent="0.25">
      <c r="A118" s="247" t="s">
        <v>227</v>
      </c>
      <c r="B118" s="48"/>
    </row>
    <row r="119" spans="1:2" x14ac:dyDescent="0.25">
      <c r="A119" s="247" t="s">
        <v>228</v>
      </c>
      <c r="B119" s="49"/>
    </row>
    <row r="120" spans="1:2" x14ac:dyDescent="0.25">
      <c r="A120" s="247" t="s">
        <v>229</v>
      </c>
      <c r="B120" s="48"/>
    </row>
    <row r="121" spans="1:2" x14ac:dyDescent="0.25">
      <c r="A121" s="247" t="s">
        <v>230</v>
      </c>
      <c r="B121" s="48"/>
    </row>
    <row r="122" spans="1:2" x14ac:dyDescent="0.25">
      <c r="A122" s="247" t="s">
        <v>231</v>
      </c>
      <c r="B122" s="49"/>
    </row>
    <row r="123" spans="1:2" x14ac:dyDescent="0.25">
      <c r="A123" s="247" t="s">
        <v>232</v>
      </c>
      <c r="B123" s="48"/>
    </row>
    <row r="124" spans="1:2" x14ac:dyDescent="0.25">
      <c r="A124" s="247" t="s">
        <v>233</v>
      </c>
      <c r="B124" s="48"/>
    </row>
    <row r="125" spans="1:2" x14ac:dyDescent="0.25">
      <c r="A125" s="248" t="s">
        <v>472</v>
      </c>
      <c r="B125" s="49"/>
    </row>
    <row r="126" spans="1:2" x14ac:dyDescent="0.25">
      <c r="A126" s="247" t="s">
        <v>234</v>
      </c>
      <c r="B126" s="48"/>
    </row>
    <row r="127" spans="1:2" x14ac:dyDescent="0.25">
      <c r="A127" s="247" t="s">
        <v>235</v>
      </c>
      <c r="B127" s="48"/>
    </row>
  </sheetData>
  <mergeCells count="11">
    <mergeCell ref="I52:O52"/>
    <mergeCell ref="I47:P47"/>
    <mergeCell ref="I48:O48"/>
    <mergeCell ref="I49:P49"/>
    <mergeCell ref="I50:P50"/>
    <mergeCell ref="I51:P51"/>
    <mergeCell ref="I53:O53"/>
    <mergeCell ref="I54:O54"/>
    <mergeCell ref="I55:P55"/>
    <mergeCell ref="I57:O57"/>
    <mergeCell ref="I58:O58"/>
  </mergeCells>
  <phoneticPr fontId="6"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7"/>
  <sheetViews>
    <sheetView topLeftCell="A19" zoomScale="80" zoomScaleNormal="80" workbookViewId="0">
      <selection activeCell="C48" sqref="C48"/>
    </sheetView>
  </sheetViews>
  <sheetFormatPr defaultColWidth="12.42578125" defaultRowHeight="15" x14ac:dyDescent="0.2"/>
  <cols>
    <col min="1" max="1" width="8" style="2" customWidth="1"/>
    <col min="2" max="2" width="8.140625" style="2" customWidth="1"/>
    <col min="3" max="3" width="10.140625" style="2" customWidth="1"/>
    <col min="4" max="4" width="12.42578125" style="2"/>
    <col min="5" max="5" width="9.28515625" style="2" customWidth="1"/>
    <col min="6" max="6" width="9.5703125" style="2" customWidth="1"/>
    <col min="7" max="7" width="10.140625" style="2" customWidth="1"/>
    <col min="8" max="8" width="10.42578125" style="2" customWidth="1"/>
    <col min="9" max="9" width="10" style="2" customWidth="1"/>
    <col min="10" max="16384" width="12.42578125" style="2"/>
  </cols>
  <sheetData>
    <row r="1" spans="1:14" ht="20.25" x14ac:dyDescent="0.3">
      <c r="A1" s="235" t="s">
        <v>101</v>
      </c>
    </row>
    <row r="2" spans="1:14" x14ac:dyDescent="0.2">
      <c r="A2" s="236" t="s">
        <v>470</v>
      </c>
      <c r="B2" s="236"/>
      <c r="C2" s="236"/>
      <c r="D2" s="236"/>
      <c r="E2" s="236"/>
      <c r="F2" s="236"/>
      <c r="G2" s="236"/>
      <c r="H2" s="236"/>
      <c r="I2" s="236"/>
      <c r="J2" s="236"/>
      <c r="K2" s="236"/>
      <c r="L2" s="236"/>
      <c r="M2" s="236"/>
      <c r="N2" s="236"/>
    </row>
    <row r="3" spans="1:14" ht="15.75" x14ac:dyDescent="0.25">
      <c r="A3" s="7" t="s">
        <v>102</v>
      </c>
      <c r="B3" s="8"/>
      <c r="C3" s="237"/>
    </row>
    <row r="5" spans="1:14" ht="18" x14ac:dyDescent="0.25">
      <c r="A5" s="238" t="s">
        <v>103</v>
      </c>
      <c r="B5" s="9"/>
    </row>
    <row r="6" spans="1:14" x14ac:dyDescent="0.2">
      <c r="A6" s="2" t="s">
        <v>104</v>
      </c>
      <c r="B6" s="9"/>
    </row>
    <row r="7" spans="1:14" x14ac:dyDescent="0.2">
      <c r="B7" s="10" t="s">
        <v>105</v>
      </c>
      <c r="C7" s="2" t="s">
        <v>106</v>
      </c>
      <c r="D7" s="2" t="s">
        <v>107</v>
      </c>
      <c r="F7" s="2">
        <v>1.7</v>
      </c>
      <c r="G7" s="2" t="s">
        <v>463</v>
      </c>
    </row>
    <row r="8" spans="1:14" ht="15.75" x14ac:dyDescent="0.25">
      <c r="A8" s="2" t="s">
        <v>108</v>
      </c>
      <c r="B8" s="11">
        <v>89</v>
      </c>
      <c r="C8" s="2" t="s">
        <v>109</v>
      </c>
      <c r="D8" s="2" t="s">
        <v>110</v>
      </c>
      <c r="E8" s="2">
        <v>5</v>
      </c>
      <c r="F8" s="2">
        <v>25</v>
      </c>
      <c r="G8" s="7">
        <v>190</v>
      </c>
      <c r="H8" s="2" t="s">
        <v>111</v>
      </c>
    </row>
    <row r="9" spans="1:14" ht="15.75" x14ac:dyDescent="0.25">
      <c r="A9" s="3">
        <v>7.0000000000000007E-2</v>
      </c>
      <c r="B9" s="4">
        <v>57</v>
      </c>
      <c r="C9" s="12">
        <f t="shared" ref="C9:C18" si="0">($B$8-B9)/$B$8*A9</f>
        <v>2.5168539325842697E-2</v>
      </c>
      <c r="D9" s="13">
        <f>($B$8-B9)*$F$7</f>
        <v>54.4</v>
      </c>
      <c r="E9" s="14">
        <f t="shared" ref="E9:G18" si="1">$D9*E$8</f>
        <v>272</v>
      </c>
      <c r="F9" s="14">
        <f t="shared" si="1"/>
        <v>1360</v>
      </c>
      <c r="G9" s="15">
        <f t="shared" si="1"/>
        <v>10336</v>
      </c>
    </row>
    <row r="10" spans="1:14" ht="15.75" x14ac:dyDescent="0.25">
      <c r="A10" s="3">
        <v>0.08</v>
      </c>
      <c r="B10" s="4">
        <v>63</v>
      </c>
      <c r="C10" s="12">
        <f t="shared" si="0"/>
        <v>2.3370786516853932E-2</v>
      </c>
      <c r="D10" s="13">
        <f>($B$8-B10)*$F$7</f>
        <v>44.199999999999996</v>
      </c>
      <c r="E10" s="14">
        <f t="shared" si="1"/>
        <v>220.99999999999997</v>
      </c>
      <c r="F10" s="14">
        <f t="shared" si="1"/>
        <v>1105</v>
      </c>
      <c r="G10" s="15">
        <f t="shared" si="1"/>
        <v>8398</v>
      </c>
      <c r="H10" s="16" t="s">
        <v>112</v>
      </c>
      <c r="I10" s="17"/>
      <c r="J10" s="17"/>
      <c r="K10" s="17"/>
    </row>
    <row r="11" spans="1:14" ht="15.75" x14ac:dyDescent="0.25">
      <c r="A11" s="3">
        <v>0.09</v>
      </c>
      <c r="B11" s="4">
        <v>69.5</v>
      </c>
      <c r="C11" s="12">
        <f t="shared" si="0"/>
        <v>1.9719101123595505E-2</v>
      </c>
      <c r="D11" s="13">
        <f>($B$8-B11)*$F$7</f>
        <v>33.15</v>
      </c>
      <c r="E11" s="14">
        <f t="shared" si="1"/>
        <v>165.75</v>
      </c>
      <c r="F11" s="14">
        <f t="shared" si="1"/>
        <v>828.75</v>
      </c>
      <c r="G11" s="15">
        <f t="shared" si="1"/>
        <v>6298.5</v>
      </c>
    </row>
    <row r="12" spans="1:14" ht="15.75" x14ac:dyDescent="0.25">
      <c r="A12" s="3">
        <v>0.1</v>
      </c>
      <c r="B12" s="4">
        <v>76</v>
      </c>
      <c r="C12" s="12">
        <f t="shared" si="0"/>
        <v>1.4606741573033709E-2</v>
      </c>
      <c r="D12" s="13">
        <f>($B$8-B12)*$F$7</f>
        <v>22.099999999999998</v>
      </c>
      <c r="E12" s="14">
        <f t="shared" si="1"/>
        <v>110.49999999999999</v>
      </c>
      <c r="F12" s="14">
        <f t="shared" si="1"/>
        <v>552.5</v>
      </c>
      <c r="G12" s="15">
        <f t="shared" si="1"/>
        <v>4199</v>
      </c>
    </row>
    <row r="13" spans="1:14" ht="15.75" x14ac:dyDescent="0.25">
      <c r="A13" s="3">
        <v>0.11</v>
      </c>
      <c r="B13" s="4">
        <v>82.5</v>
      </c>
      <c r="C13" s="12">
        <f t="shared" si="0"/>
        <v>8.0337078651685385E-3</v>
      </c>
      <c r="D13" s="13">
        <f>($B$8-B13)*$F$7</f>
        <v>11.049999999999999</v>
      </c>
      <c r="E13" s="14">
        <f t="shared" si="1"/>
        <v>55.249999999999993</v>
      </c>
      <c r="F13" s="14">
        <f t="shared" si="1"/>
        <v>276.25</v>
      </c>
      <c r="G13" s="15">
        <f t="shared" si="1"/>
        <v>2099.5</v>
      </c>
    </row>
    <row r="14" spans="1:14" ht="15.75" x14ac:dyDescent="0.25">
      <c r="A14" s="18">
        <v>0.115</v>
      </c>
      <c r="B14" s="19">
        <f t="shared" ref="B14:G14" si="2">AVERAGE(B13,B15)</f>
        <v>85.75</v>
      </c>
      <c r="C14" s="239">
        <f t="shared" si="2"/>
        <v>4.0168539325842693E-3</v>
      </c>
      <c r="D14" s="19">
        <f t="shared" si="2"/>
        <v>5.5249999999999995</v>
      </c>
      <c r="E14" s="20">
        <f t="shared" si="2"/>
        <v>27.624999999999996</v>
      </c>
      <c r="F14" s="20">
        <f t="shared" si="2"/>
        <v>138.125</v>
      </c>
      <c r="G14" s="20">
        <f t="shared" si="2"/>
        <v>1049.75</v>
      </c>
      <c r="H14" s="20" t="s">
        <v>113</v>
      </c>
      <c r="I14" s="21"/>
      <c r="J14" s="21"/>
      <c r="K14" s="21"/>
    </row>
    <row r="15" spans="1:14" ht="15.75" x14ac:dyDescent="0.25">
      <c r="A15" s="22">
        <v>0.12</v>
      </c>
      <c r="B15" s="23">
        <v>89</v>
      </c>
      <c r="C15" s="24">
        <f t="shared" si="0"/>
        <v>0</v>
      </c>
      <c r="D15" s="25">
        <f>($B$8-B15)*$F$7</f>
        <v>0</v>
      </c>
      <c r="E15" s="26">
        <f t="shared" si="1"/>
        <v>0</v>
      </c>
      <c r="F15" s="26">
        <f t="shared" si="1"/>
        <v>0</v>
      </c>
      <c r="G15" s="27">
        <f t="shared" si="1"/>
        <v>0</v>
      </c>
      <c r="H15" s="28" t="s">
        <v>114</v>
      </c>
      <c r="I15" s="29"/>
      <c r="J15" s="17"/>
      <c r="K15" s="17"/>
    </row>
    <row r="16" spans="1:14" ht="15.75" x14ac:dyDescent="0.25">
      <c r="A16" s="30">
        <v>0.13</v>
      </c>
      <c r="B16" s="31">
        <v>95</v>
      </c>
      <c r="C16" s="32">
        <f t="shared" si="0"/>
        <v>-8.7640449438202254E-3</v>
      </c>
      <c r="D16" s="33">
        <f>($B$8-B16)*$F$7</f>
        <v>-10.199999999999999</v>
      </c>
      <c r="E16" s="34">
        <f t="shared" si="1"/>
        <v>-51</v>
      </c>
      <c r="F16" s="34">
        <f t="shared" si="1"/>
        <v>-254.99999999999997</v>
      </c>
      <c r="G16" s="28">
        <f t="shared" si="1"/>
        <v>-1937.9999999999998</v>
      </c>
      <c r="H16" s="28"/>
      <c r="I16" s="17"/>
      <c r="J16" s="17"/>
      <c r="K16" s="17"/>
    </row>
    <row r="17" spans="1:11" ht="15.75" x14ac:dyDescent="0.25">
      <c r="A17" s="30">
        <v>0.14000000000000001</v>
      </c>
      <c r="B17" s="31">
        <v>101.5</v>
      </c>
      <c r="C17" s="32">
        <f t="shared" si="0"/>
        <v>-1.966292134831461E-2</v>
      </c>
      <c r="D17" s="33">
        <f>($B$8-B17)*$F$7</f>
        <v>-21.25</v>
      </c>
      <c r="E17" s="34">
        <f t="shared" si="1"/>
        <v>-106.25</v>
      </c>
      <c r="F17" s="34">
        <f t="shared" si="1"/>
        <v>-531.25</v>
      </c>
      <c r="G17" s="28">
        <f t="shared" si="1"/>
        <v>-4037.5</v>
      </c>
      <c r="H17" s="28"/>
    </row>
    <row r="18" spans="1:11" ht="15.75" x14ac:dyDescent="0.25">
      <c r="A18" s="30">
        <v>0.15</v>
      </c>
      <c r="B18" s="31">
        <v>108</v>
      </c>
      <c r="C18" s="32">
        <f t="shared" si="0"/>
        <v>-3.2022471910112357E-2</v>
      </c>
      <c r="D18" s="33">
        <f>($B$8-B18)*$F$7</f>
        <v>-32.299999999999997</v>
      </c>
      <c r="E18" s="34">
        <f t="shared" si="1"/>
        <v>-161.5</v>
      </c>
      <c r="F18" s="34">
        <f t="shared" si="1"/>
        <v>-807.49999999999989</v>
      </c>
      <c r="G18" s="28">
        <f t="shared" si="1"/>
        <v>-6136.9999999999991</v>
      </c>
      <c r="H18" s="28" t="s">
        <v>115</v>
      </c>
      <c r="I18" s="17"/>
      <c r="J18" s="17"/>
      <c r="K18" s="17"/>
    </row>
    <row r="20" spans="1:11" ht="20.25" x14ac:dyDescent="0.3">
      <c r="A20" s="235" t="s">
        <v>116</v>
      </c>
    </row>
    <row r="21" spans="1:11" ht="18" x14ac:dyDescent="0.25">
      <c r="A21" s="238" t="s">
        <v>117</v>
      </c>
    </row>
    <row r="22" spans="1:11" x14ac:dyDescent="0.2">
      <c r="A22" s="35" t="s">
        <v>118</v>
      </c>
      <c r="B22" s="35"/>
      <c r="C22" s="35">
        <v>4.0999999999999996</v>
      </c>
      <c r="F22" s="36">
        <f>(C22*C24-C23)*D27</f>
        <v>221.39999999999998</v>
      </c>
      <c r="G22" s="36" t="s">
        <v>119</v>
      </c>
      <c r="I22" s="2" t="s">
        <v>120</v>
      </c>
    </row>
    <row r="23" spans="1:11" ht="15.75" x14ac:dyDescent="0.25">
      <c r="A23" s="2" t="s">
        <v>121</v>
      </c>
      <c r="C23" s="7">
        <v>0</v>
      </c>
      <c r="D23" s="37" t="s">
        <v>122</v>
      </c>
      <c r="F23" s="36"/>
      <c r="G23" s="36"/>
    </row>
    <row r="24" spans="1:11" ht="15.75" x14ac:dyDescent="0.25">
      <c r="A24" s="2" t="s">
        <v>123</v>
      </c>
      <c r="C24" s="7">
        <v>6</v>
      </c>
      <c r="D24" s="37" t="s">
        <v>124</v>
      </c>
    </row>
    <row r="25" spans="1:11" ht="15.75" x14ac:dyDescent="0.25">
      <c r="A25" s="2" t="s">
        <v>125</v>
      </c>
      <c r="C25" s="7">
        <v>0.75</v>
      </c>
    </row>
    <row r="26" spans="1:11" ht="15.75" x14ac:dyDescent="0.25">
      <c r="A26" s="2" t="s">
        <v>126</v>
      </c>
      <c r="C26" s="38">
        <v>12</v>
      </c>
    </row>
    <row r="27" spans="1:11" ht="15.75" x14ac:dyDescent="0.25">
      <c r="A27" s="2" t="s">
        <v>127</v>
      </c>
      <c r="D27" s="39">
        <f>C26*C25</f>
        <v>9</v>
      </c>
      <c r="E27" s="40"/>
      <c r="F27" s="36">
        <f>D28/D27</f>
        <v>24.599999999999998</v>
      </c>
      <c r="G27" s="36" t="s">
        <v>128</v>
      </c>
    </row>
    <row r="28" spans="1:11" ht="15.75" x14ac:dyDescent="0.25">
      <c r="A28" s="2" t="s">
        <v>129</v>
      </c>
      <c r="D28" s="41">
        <f>(C22*C24-C23)*D27</f>
        <v>221.39999999999998</v>
      </c>
      <c r="E28" s="40" t="s">
        <v>130</v>
      </c>
      <c r="F28" s="42">
        <f>D28/C26</f>
        <v>18.45</v>
      </c>
      <c r="G28" s="36" t="s">
        <v>131</v>
      </c>
    </row>
    <row r="30" spans="1:11" ht="20.25" x14ac:dyDescent="0.3">
      <c r="A30" s="235" t="s">
        <v>132</v>
      </c>
    </row>
    <row r="31" spans="1:11" ht="18" x14ac:dyDescent="0.25">
      <c r="A31" s="238" t="s">
        <v>133</v>
      </c>
      <c r="D31" s="37" t="s">
        <v>134</v>
      </c>
    </row>
    <row r="32" spans="1:11" ht="15.75" x14ac:dyDescent="0.25">
      <c r="A32" s="2" t="s">
        <v>135</v>
      </c>
      <c r="B32" s="5" t="s">
        <v>136</v>
      </c>
      <c r="C32" s="7">
        <v>50</v>
      </c>
      <c r="D32" s="43">
        <f>C32/0.58*C35*C34/1000</f>
        <v>1.2931034482758621</v>
      </c>
      <c r="E32" s="2" t="s">
        <v>137</v>
      </c>
    </row>
    <row r="33" spans="1:10" ht="15.75" x14ac:dyDescent="0.25">
      <c r="A33" s="2" t="s">
        <v>138</v>
      </c>
      <c r="C33" s="7">
        <v>1</v>
      </c>
      <c r="D33" s="44">
        <f>C33*C35</f>
        <v>20</v>
      </c>
      <c r="E33" s="2" t="s">
        <v>139</v>
      </c>
    </row>
    <row r="34" spans="1:10" ht="15.75" x14ac:dyDescent="0.25">
      <c r="A34" s="2" t="s">
        <v>125</v>
      </c>
      <c r="C34" s="7">
        <v>0.75</v>
      </c>
      <c r="D34" s="44"/>
    </row>
    <row r="35" spans="1:10" ht="15.75" x14ac:dyDescent="0.25">
      <c r="A35" s="2" t="s">
        <v>126</v>
      </c>
      <c r="C35" s="7">
        <v>20</v>
      </c>
    </row>
    <row r="36" spans="1:10" x14ac:dyDescent="0.2">
      <c r="A36" s="2" t="s">
        <v>129</v>
      </c>
      <c r="B36" s="2">
        <v>15</v>
      </c>
      <c r="C36" s="2" t="s">
        <v>140</v>
      </c>
      <c r="D36" s="45">
        <f>(B36-$A$38)*$C$35*$C$34</f>
        <v>0</v>
      </c>
      <c r="E36" s="2" t="s">
        <v>130</v>
      </c>
    </row>
    <row r="37" spans="1:10" x14ac:dyDescent="0.2">
      <c r="A37" s="2" t="s">
        <v>121</v>
      </c>
      <c r="B37" s="2">
        <v>26</v>
      </c>
      <c r="C37" s="2" t="s">
        <v>141</v>
      </c>
      <c r="D37" s="45">
        <f>(B37-$A$38)*$C$35*$C$34</f>
        <v>165</v>
      </c>
      <c r="E37" s="2" t="s">
        <v>130</v>
      </c>
    </row>
    <row r="38" spans="1:10" x14ac:dyDescent="0.2">
      <c r="A38" s="46">
        <v>15</v>
      </c>
      <c r="B38" s="2">
        <v>41</v>
      </c>
      <c r="C38" s="2" t="s">
        <v>142</v>
      </c>
      <c r="D38" s="45">
        <f>(B38-$A$38)*$C$35*$C$34</f>
        <v>390</v>
      </c>
      <c r="E38" s="2" t="s">
        <v>130</v>
      </c>
    </row>
    <row r="39" spans="1:10" x14ac:dyDescent="0.2">
      <c r="B39" s="2">
        <v>60</v>
      </c>
      <c r="C39" s="2" t="s">
        <v>143</v>
      </c>
      <c r="D39" s="45">
        <f>(B39-$A$38)*$C$35*$C$34</f>
        <v>675</v>
      </c>
      <c r="E39" s="2" t="s">
        <v>130</v>
      </c>
    </row>
    <row r="42" spans="1:10" ht="20.25" x14ac:dyDescent="0.3">
      <c r="A42" s="235" t="s">
        <v>466</v>
      </c>
    </row>
    <row r="43" spans="1:10" x14ac:dyDescent="0.2">
      <c r="A43" s="2" t="s">
        <v>464</v>
      </c>
      <c r="B43" s="2" t="s">
        <v>465</v>
      </c>
      <c r="C43" s="2" t="s">
        <v>469</v>
      </c>
      <c r="E43" s="36" t="s">
        <v>468</v>
      </c>
    </row>
    <row r="44" spans="1:10" x14ac:dyDescent="0.2">
      <c r="A44" s="2">
        <v>17</v>
      </c>
      <c r="B44" s="2">
        <v>69.8</v>
      </c>
      <c r="C44" s="240"/>
      <c r="D44" s="2" t="str">
        <f>IF(C44&lt;&gt;"",(C44-A44)*(B45-B44)+B44,"")</f>
        <v/>
      </c>
      <c r="E44" s="36" t="s">
        <v>467</v>
      </c>
      <c r="F44" s="36"/>
      <c r="G44" s="36"/>
      <c r="H44" s="36"/>
      <c r="I44" s="36"/>
      <c r="J44" s="241"/>
    </row>
    <row r="45" spans="1:10" x14ac:dyDescent="0.2">
      <c r="A45" s="2">
        <v>18</v>
      </c>
      <c r="B45" s="2">
        <v>74.099999999999994</v>
      </c>
      <c r="C45" s="240"/>
      <c r="D45" s="2" t="str">
        <f t="shared" ref="D45:D57" si="3">IF(C45&lt;&gt;"",(C45-A45)*(B46-B45)+B45,"")</f>
        <v/>
      </c>
    </row>
    <row r="46" spans="1:10" x14ac:dyDescent="0.2">
      <c r="A46" s="2">
        <v>19</v>
      </c>
      <c r="B46" s="2">
        <v>78.5</v>
      </c>
      <c r="C46" s="240"/>
      <c r="D46" s="2" t="str">
        <f t="shared" si="3"/>
        <v/>
      </c>
    </row>
    <row r="47" spans="1:10" x14ac:dyDescent="0.2">
      <c r="A47" s="2">
        <v>20</v>
      </c>
      <c r="B47" s="2">
        <v>83</v>
      </c>
      <c r="C47" s="240"/>
      <c r="D47" s="2" t="str">
        <f t="shared" si="3"/>
        <v/>
      </c>
    </row>
    <row r="48" spans="1:10" x14ac:dyDescent="0.2">
      <c r="A48" s="2">
        <v>21</v>
      </c>
      <c r="B48" s="2">
        <v>87.4</v>
      </c>
      <c r="C48" s="240">
        <v>21.5</v>
      </c>
      <c r="D48" s="2">
        <f t="shared" si="3"/>
        <v>89.65</v>
      </c>
    </row>
    <row r="49" spans="1:4" x14ac:dyDescent="0.2">
      <c r="A49" s="2">
        <v>22</v>
      </c>
      <c r="B49" s="2">
        <v>91.9</v>
      </c>
      <c r="C49" s="240">
        <v>22.6</v>
      </c>
      <c r="D49" s="2">
        <f t="shared" si="3"/>
        <v>94.660000000000011</v>
      </c>
    </row>
    <row r="50" spans="1:4" x14ac:dyDescent="0.2">
      <c r="A50" s="2">
        <v>23</v>
      </c>
      <c r="B50" s="2">
        <v>96.5</v>
      </c>
      <c r="C50" s="240"/>
      <c r="D50" s="2" t="str">
        <f t="shared" si="3"/>
        <v/>
      </c>
    </row>
    <row r="51" spans="1:4" x14ac:dyDescent="0.2">
      <c r="A51" s="2">
        <v>24</v>
      </c>
      <c r="B51" s="2">
        <v>101</v>
      </c>
      <c r="C51" s="240"/>
      <c r="D51" s="2" t="str">
        <f t="shared" si="3"/>
        <v/>
      </c>
    </row>
    <row r="52" spans="1:4" x14ac:dyDescent="0.2">
      <c r="A52" s="2">
        <v>25</v>
      </c>
      <c r="B52" s="2">
        <v>105.6</v>
      </c>
      <c r="C52" s="240"/>
      <c r="D52" s="2" t="str">
        <f t="shared" si="3"/>
        <v/>
      </c>
    </row>
    <row r="53" spans="1:4" x14ac:dyDescent="0.2">
      <c r="A53" s="2">
        <v>26</v>
      </c>
      <c r="B53" s="2">
        <v>110.3</v>
      </c>
      <c r="C53" s="240"/>
      <c r="D53" s="2" t="str">
        <f t="shared" si="3"/>
        <v/>
      </c>
    </row>
    <row r="54" spans="1:4" x14ac:dyDescent="0.2">
      <c r="A54" s="2">
        <v>27</v>
      </c>
      <c r="B54" s="2">
        <v>114.9</v>
      </c>
      <c r="C54" s="240"/>
      <c r="D54" s="2" t="str">
        <f t="shared" si="3"/>
        <v/>
      </c>
    </row>
    <row r="55" spans="1:4" x14ac:dyDescent="0.2">
      <c r="A55" s="2">
        <v>28</v>
      </c>
      <c r="B55" s="2">
        <v>119.6</v>
      </c>
      <c r="C55" s="240"/>
      <c r="D55" s="2" t="str">
        <f t="shared" si="3"/>
        <v/>
      </c>
    </row>
    <row r="56" spans="1:4" x14ac:dyDescent="0.2">
      <c r="A56" s="2">
        <v>29</v>
      </c>
      <c r="B56" s="2">
        <v>124.4</v>
      </c>
      <c r="C56" s="240"/>
      <c r="D56" s="2" t="str">
        <f t="shared" si="3"/>
        <v/>
      </c>
    </row>
    <row r="57" spans="1:4" x14ac:dyDescent="0.2">
      <c r="A57" s="2">
        <v>30</v>
      </c>
      <c r="B57" s="2">
        <v>129.1</v>
      </c>
      <c r="C57" s="240"/>
      <c r="D57" s="2" t="str">
        <f t="shared" si="3"/>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05"/>
  <sheetViews>
    <sheetView workbookViewId="0">
      <selection activeCell="G12" sqref="G12"/>
    </sheetView>
  </sheetViews>
  <sheetFormatPr defaultRowHeight="15.75" x14ac:dyDescent="0.25"/>
  <cols>
    <col min="1" max="1" width="33.42578125" customWidth="1"/>
    <col min="5" max="5" width="11.7109375" customWidth="1"/>
    <col min="6" max="6" width="10" customWidth="1"/>
    <col min="7" max="7" width="9.140625" customWidth="1"/>
    <col min="8" max="8" width="10.7109375" customWidth="1"/>
    <col min="9" max="9" width="10.42578125" customWidth="1"/>
    <col min="10" max="10" width="10.7109375" customWidth="1"/>
    <col min="11" max="11" width="11.28515625" customWidth="1"/>
    <col min="12" max="12" width="9" customWidth="1"/>
    <col min="13" max="13" width="5.42578125" customWidth="1"/>
    <col min="14" max="15" width="11.28515625" hidden="1" customWidth="1"/>
    <col min="16" max="16" width="3.5703125" customWidth="1"/>
    <col min="17" max="17" width="28" style="143" customWidth="1"/>
    <col min="19" max="19" width="9.140625" style="144"/>
    <col min="20" max="20" width="9" style="145" customWidth="1"/>
    <col min="21" max="22" width="8.140625" style="145" customWidth="1"/>
  </cols>
  <sheetData>
    <row r="1" spans="1:25" ht="32.25" thickBot="1" x14ac:dyDescent="0.55000000000000004">
      <c r="A1" s="141" t="s">
        <v>292</v>
      </c>
      <c r="B1" s="142"/>
      <c r="C1" s="142"/>
      <c r="D1" s="142"/>
      <c r="E1" s="142"/>
      <c r="F1" s="142"/>
      <c r="Q1" s="143" t="s">
        <v>293</v>
      </c>
    </row>
    <row r="2" spans="1:25" ht="17.25" thickTop="1" thickBot="1" x14ac:dyDescent="0.3">
      <c r="B2" s="142"/>
      <c r="C2" s="142"/>
      <c r="D2" s="142"/>
      <c r="E2" s="142"/>
      <c r="F2" s="142"/>
      <c r="Q2" s="146" t="s">
        <v>294</v>
      </c>
    </row>
    <row r="3" spans="1:25" ht="17.25" thickTop="1" thickBot="1" x14ac:dyDescent="0.3">
      <c r="A3" t="s">
        <v>295</v>
      </c>
      <c r="B3" s="142"/>
      <c r="C3" s="142"/>
      <c r="D3" s="142"/>
      <c r="E3" s="142"/>
      <c r="F3" s="142"/>
      <c r="Q3" s="146" t="s">
        <v>296</v>
      </c>
    </row>
    <row r="4" spans="1:25" ht="17.25" thickTop="1" thickBot="1" x14ac:dyDescent="0.3">
      <c r="A4" s="147" t="s">
        <v>297</v>
      </c>
      <c r="B4" s="142"/>
      <c r="C4" s="142"/>
      <c r="D4" s="142"/>
      <c r="E4" s="142"/>
      <c r="F4" s="142"/>
      <c r="Q4" s="146" t="s">
        <v>298</v>
      </c>
    </row>
    <row r="5" spans="1:25" ht="17.25" thickTop="1" thickBot="1" x14ac:dyDescent="0.3">
      <c r="A5" t="s">
        <v>299</v>
      </c>
      <c r="B5" s="142"/>
      <c r="C5" s="142"/>
      <c r="D5" s="142"/>
      <c r="E5" s="142"/>
      <c r="F5" s="142"/>
      <c r="Q5" s="146" t="s">
        <v>300</v>
      </c>
    </row>
    <row r="6" spans="1:25" ht="17.25" thickTop="1" thickBot="1" x14ac:dyDescent="0.3">
      <c r="A6" t="s">
        <v>301</v>
      </c>
      <c r="B6" s="142"/>
      <c r="C6" s="142"/>
      <c r="D6" s="142"/>
      <c r="E6" s="142"/>
      <c r="F6" s="142"/>
      <c r="Q6" s="146" t="s">
        <v>302</v>
      </c>
    </row>
    <row r="7" spans="1:25" ht="36.75" customHeight="1" thickTop="1" thickBot="1" x14ac:dyDescent="0.3">
      <c r="A7" s="270" t="s">
        <v>303</v>
      </c>
      <c r="B7" s="270"/>
      <c r="C7" s="270"/>
      <c r="D7" s="270"/>
      <c r="E7" s="270"/>
      <c r="F7" s="270"/>
      <c r="G7" s="270"/>
      <c r="H7" s="270"/>
      <c r="I7" s="270"/>
      <c r="J7" s="270"/>
      <c r="K7" s="270"/>
      <c r="Q7" s="146" t="s">
        <v>304</v>
      </c>
    </row>
    <row r="8" spans="1:25" ht="17.25" thickTop="1" thickBot="1" x14ac:dyDescent="0.3">
      <c r="B8" s="142"/>
      <c r="C8" s="142"/>
      <c r="D8" s="142"/>
      <c r="E8" s="142"/>
      <c r="F8" s="142"/>
      <c r="Q8" s="146" t="s">
        <v>305</v>
      </c>
    </row>
    <row r="9" spans="1:25" ht="24.75" thickTop="1" thickBot="1" x14ac:dyDescent="0.4">
      <c r="A9" s="148" t="s">
        <v>306</v>
      </c>
      <c r="B9" s="142"/>
      <c r="C9" s="142"/>
      <c r="D9" s="142"/>
      <c r="E9" s="142"/>
      <c r="F9" s="142"/>
      <c r="Q9" s="146" t="s">
        <v>307</v>
      </c>
    </row>
    <row r="10" spans="1:25" ht="31.5" thickTop="1" thickBot="1" x14ac:dyDescent="0.35">
      <c r="A10" s="149" t="s">
        <v>308</v>
      </c>
      <c r="B10" s="142"/>
      <c r="C10" s="1"/>
      <c r="D10" s="150" t="s">
        <v>309</v>
      </c>
      <c r="E10" s="151"/>
      <c r="F10" s="151">
        <v>100</v>
      </c>
      <c r="G10" s="152">
        <v>100</v>
      </c>
      <c r="H10" s="153" t="s">
        <v>310</v>
      </c>
      <c r="I10" s="153" t="s">
        <v>311</v>
      </c>
      <c r="J10" s="153" t="s">
        <v>312</v>
      </c>
      <c r="K10" s="153" t="s">
        <v>313</v>
      </c>
      <c r="L10" s="153" t="s">
        <v>314</v>
      </c>
      <c r="N10" s="154" t="s">
        <v>311</v>
      </c>
      <c r="O10" s="154" t="s">
        <v>312</v>
      </c>
      <c r="Q10" s="146" t="s">
        <v>315</v>
      </c>
      <c r="T10" s="153" t="s">
        <v>310</v>
      </c>
      <c r="U10" s="153" t="s">
        <v>311</v>
      </c>
      <c r="V10" s="153" t="s">
        <v>312</v>
      </c>
      <c r="X10" s="153" t="s">
        <v>311</v>
      </c>
      <c r="Y10" s="153" t="s">
        <v>312</v>
      </c>
    </row>
    <row r="11" spans="1:25" s="161" customFormat="1" ht="17.25" thickTop="1" thickBot="1" x14ac:dyDescent="0.3">
      <c r="A11" s="146" t="s">
        <v>475</v>
      </c>
      <c r="B11" s="155"/>
      <c r="C11" s="156"/>
      <c r="D11" s="156"/>
      <c r="E11" s="156"/>
      <c r="F11" s="156"/>
      <c r="G11" s="157" t="s">
        <v>317</v>
      </c>
      <c r="H11" s="158">
        <f>SUMIFS(C$104:C$135,$A$104:$A$135,$A$11)/10</f>
        <v>8</v>
      </c>
      <c r="I11" s="158">
        <f>SUMIFS(D$104:D$135,$A$104:$A$135,$A$11)/10</f>
        <v>1.7</v>
      </c>
      <c r="J11" s="158">
        <f>SUMIFS(E$104:E$135,$A$104:$A$135,$A$11)/10</f>
        <v>7</v>
      </c>
      <c r="K11" s="158">
        <f>SUMIFS(F$104:F$135,$A$104:$A$135,$A$11)/10</f>
        <v>1.7</v>
      </c>
      <c r="L11" s="158">
        <f>SUMIFS(G$104:G$135,$A$104:$A$135,$A$11)/10</f>
        <v>6</v>
      </c>
      <c r="M11" s="159"/>
      <c r="N11" s="160">
        <f>I11</f>
        <v>1.7</v>
      </c>
      <c r="O11" s="160">
        <f>J11</f>
        <v>7</v>
      </c>
      <c r="Q11" s="146" t="s">
        <v>318</v>
      </c>
      <c r="S11" s="162"/>
      <c r="T11" s="163"/>
      <c r="U11" s="163"/>
      <c r="V11" s="163"/>
    </row>
    <row r="12" spans="1:25" s="161" customFormat="1" ht="17.25" thickTop="1" thickBot="1" x14ac:dyDescent="0.3">
      <c r="A12" s="164"/>
      <c r="B12" s="165"/>
      <c r="C12" s="166"/>
      <c r="D12" s="166"/>
      <c r="E12" s="166"/>
      <c r="F12" s="166" t="s">
        <v>319</v>
      </c>
      <c r="G12" s="167">
        <v>5</v>
      </c>
      <c r="H12" s="168">
        <f>H11/G12*100*G13</f>
        <v>1600000</v>
      </c>
      <c r="I12" s="159">
        <f>H12*9.2/6</f>
        <v>2453333.333333333</v>
      </c>
      <c r="J12" s="159"/>
      <c r="K12" s="169"/>
      <c r="L12" s="169"/>
      <c r="M12" s="159"/>
      <c r="N12" s="160"/>
      <c r="O12" s="160"/>
      <c r="Q12" s="146"/>
      <c r="S12" s="162" t="s">
        <v>320</v>
      </c>
      <c r="T12" s="163"/>
      <c r="U12" s="163"/>
      <c r="V12" s="163"/>
    </row>
    <row r="13" spans="1:25" ht="17.25" thickTop="1" thickBot="1" x14ac:dyDescent="0.3">
      <c r="A13" s="170" t="s">
        <v>321</v>
      </c>
      <c r="B13" s="170" t="s">
        <v>310</v>
      </c>
      <c r="C13" s="170" t="s">
        <v>311</v>
      </c>
      <c r="D13" s="170" t="s">
        <v>312</v>
      </c>
      <c r="E13" s="170" t="s">
        <v>313</v>
      </c>
      <c r="F13" s="170" t="s">
        <v>322</v>
      </c>
      <c r="G13" s="171">
        <f>F10*G10</f>
        <v>10000</v>
      </c>
      <c r="H13" s="172" t="s">
        <v>323</v>
      </c>
      <c r="I13" s="172" t="s">
        <v>323</v>
      </c>
      <c r="J13" s="172" t="s">
        <v>323</v>
      </c>
      <c r="K13" s="159"/>
      <c r="L13" s="159"/>
      <c r="M13" s="159"/>
      <c r="N13" s="173" t="s">
        <v>324</v>
      </c>
      <c r="O13" s="174"/>
      <c r="Q13" s="146" t="s">
        <v>325</v>
      </c>
      <c r="S13" s="175" t="s">
        <v>326</v>
      </c>
      <c r="T13" s="176">
        <f>G13*$S$37</f>
        <v>46999.999999999993</v>
      </c>
      <c r="U13" s="176" t="s">
        <v>327</v>
      </c>
    </row>
    <row r="14" spans="1:25" ht="17.25" thickTop="1" thickBot="1" x14ac:dyDescent="0.3">
      <c r="A14" s="177" t="s">
        <v>328</v>
      </c>
      <c r="B14" s="178">
        <v>0.55000000000000004</v>
      </c>
      <c r="C14" s="178">
        <v>0.2</v>
      </c>
      <c r="D14" s="178">
        <v>0.4</v>
      </c>
      <c r="E14" s="178"/>
      <c r="F14" s="178"/>
      <c r="H14" s="179">
        <f>H$11/B14/10*$G$13</f>
        <v>14545.454545454546</v>
      </c>
      <c r="I14" s="179">
        <f t="shared" ref="I14:I23" si="0">I$11/C14/10*$G$13</f>
        <v>8500</v>
      </c>
      <c r="J14" s="179">
        <f t="shared" ref="J14:J23" si="1">J$11/D14/10*$G$13</f>
        <v>17500</v>
      </c>
      <c r="K14" s="159"/>
      <c r="L14" s="159"/>
      <c r="M14" s="159"/>
      <c r="N14" s="160">
        <f>$H14/I14</f>
        <v>1.7112299465240641</v>
      </c>
      <c r="O14" s="160">
        <f>$H14/J14</f>
        <v>0.83116883116883122</v>
      </c>
      <c r="Q14" s="146" t="s">
        <v>329</v>
      </c>
      <c r="S14" s="144">
        <v>0</v>
      </c>
      <c r="T14" s="145">
        <f t="shared" ref="T14:T34" si="2">$S14*H14</f>
        <v>0</v>
      </c>
      <c r="U14" s="145">
        <f t="shared" ref="U14:V30" si="3">$S14*I14</f>
        <v>0</v>
      </c>
      <c r="V14" s="145">
        <f t="shared" si="3"/>
        <v>0</v>
      </c>
      <c r="X14" s="180">
        <f>I14/H14</f>
        <v>0.58437499999999998</v>
      </c>
      <c r="Y14" s="180">
        <f>H14/I14</f>
        <v>1.7112299465240641</v>
      </c>
    </row>
    <row r="15" spans="1:25" ht="17.25" thickTop="1" thickBot="1" x14ac:dyDescent="0.3">
      <c r="A15" s="177" t="s">
        <v>330</v>
      </c>
      <c r="B15" s="178">
        <v>0.65</v>
      </c>
      <c r="C15" s="178">
        <v>0.45</v>
      </c>
      <c r="D15" s="178">
        <v>0.5</v>
      </c>
      <c r="E15" s="178"/>
      <c r="F15" s="178"/>
      <c r="H15" s="179">
        <f t="shared" ref="H15:H23" si="4">H$11/B15/10*$G$13</f>
        <v>12307.692307692307</v>
      </c>
      <c r="I15" s="179">
        <f t="shared" si="0"/>
        <v>3777.7777777777778</v>
      </c>
      <c r="J15" s="179">
        <f t="shared" si="1"/>
        <v>14000</v>
      </c>
      <c r="K15" s="159"/>
      <c r="L15" s="159"/>
      <c r="M15" s="159"/>
      <c r="N15" s="160">
        <f t="shared" ref="N15:N32" si="5">H15/I15</f>
        <v>3.2579185520361986</v>
      </c>
      <c r="O15" s="160">
        <f t="shared" ref="O15:O32" si="6">$H15/J15</f>
        <v>0.87912087912087911</v>
      </c>
      <c r="Q15" s="146" t="s">
        <v>331</v>
      </c>
      <c r="S15" s="144">
        <v>0.5</v>
      </c>
      <c r="T15" s="145">
        <f t="shared" si="2"/>
        <v>6153.8461538461534</v>
      </c>
      <c r="U15" s="145">
        <f t="shared" si="3"/>
        <v>1888.8888888888889</v>
      </c>
      <c r="V15" s="145">
        <f t="shared" si="3"/>
        <v>7000</v>
      </c>
      <c r="X15" s="180">
        <f t="shared" ref="X15:X34" si="7">I15/H15</f>
        <v>0.30694444444444446</v>
      </c>
      <c r="Y15" s="180">
        <f t="shared" ref="Y15:Y34" si="8">H15/I15</f>
        <v>3.2579185520361986</v>
      </c>
    </row>
    <row r="16" spans="1:25" ht="17.25" thickTop="1" thickBot="1" x14ac:dyDescent="0.3">
      <c r="A16" s="177" t="s">
        <v>332</v>
      </c>
      <c r="B16" s="178">
        <v>0.6</v>
      </c>
      <c r="C16" s="178">
        <v>0.6</v>
      </c>
      <c r="D16" s="178">
        <v>0.4</v>
      </c>
      <c r="E16" s="178"/>
      <c r="F16" s="178"/>
      <c r="H16" s="179">
        <f t="shared" si="4"/>
        <v>13333.333333333334</v>
      </c>
      <c r="I16" s="179">
        <f t="shared" si="0"/>
        <v>2833.3333333333335</v>
      </c>
      <c r="J16" s="179">
        <f t="shared" si="1"/>
        <v>17500</v>
      </c>
      <c r="K16" s="159"/>
      <c r="L16" s="159"/>
      <c r="M16" s="159"/>
      <c r="N16" s="160">
        <f t="shared" si="5"/>
        <v>4.7058823529411766</v>
      </c>
      <c r="O16" s="160">
        <f t="shared" si="6"/>
        <v>0.76190476190476197</v>
      </c>
      <c r="Q16" s="146" t="s">
        <v>333</v>
      </c>
      <c r="S16" s="144">
        <v>0</v>
      </c>
      <c r="T16" s="145">
        <f t="shared" si="2"/>
        <v>0</v>
      </c>
      <c r="U16" s="145">
        <f t="shared" si="3"/>
        <v>0</v>
      </c>
      <c r="V16" s="145">
        <f t="shared" si="3"/>
        <v>0</v>
      </c>
      <c r="X16" s="180">
        <f t="shared" si="7"/>
        <v>0.21249999999999999</v>
      </c>
      <c r="Y16" s="180">
        <f t="shared" si="8"/>
        <v>4.7058823529411766</v>
      </c>
    </row>
    <row r="17" spans="1:25" ht="17.25" thickTop="1" thickBot="1" x14ac:dyDescent="0.3">
      <c r="A17" s="177" t="s">
        <v>334</v>
      </c>
      <c r="B17" s="178">
        <v>0.8</v>
      </c>
      <c r="C17" s="178">
        <v>0.5</v>
      </c>
      <c r="D17" s="178">
        <v>0.5</v>
      </c>
      <c r="E17" s="178"/>
      <c r="F17" s="178"/>
      <c r="H17" s="179">
        <f t="shared" si="4"/>
        <v>10000</v>
      </c>
      <c r="I17" s="179">
        <f t="shared" si="0"/>
        <v>3399.9999999999995</v>
      </c>
      <c r="J17" s="179">
        <f t="shared" si="1"/>
        <v>14000</v>
      </c>
      <c r="K17" s="159"/>
      <c r="L17" s="159"/>
      <c r="M17" s="159"/>
      <c r="N17" s="160">
        <f>H17/I17</f>
        <v>2.9411764705882355</v>
      </c>
      <c r="O17" s="160">
        <f t="shared" si="6"/>
        <v>0.7142857142857143</v>
      </c>
      <c r="Q17" s="146" t="s">
        <v>335</v>
      </c>
      <c r="S17" s="144">
        <v>0</v>
      </c>
      <c r="T17" s="145">
        <f t="shared" si="2"/>
        <v>0</v>
      </c>
      <c r="U17" s="145">
        <f t="shared" si="3"/>
        <v>0</v>
      </c>
      <c r="V17" s="145">
        <f t="shared" si="3"/>
        <v>0</v>
      </c>
      <c r="X17" s="180">
        <f t="shared" si="7"/>
        <v>0.33999999999999997</v>
      </c>
      <c r="Y17" s="180">
        <f t="shared" si="8"/>
        <v>2.9411764705882355</v>
      </c>
    </row>
    <row r="18" spans="1:25" ht="17.25" thickTop="1" thickBot="1" x14ac:dyDescent="0.3">
      <c r="A18" s="177" t="s">
        <v>336</v>
      </c>
      <c r="B18" s="178">
        <v>1.5</v>
      </c>
      <c r="C18" s="178">
        <v>1.35</v>
      </c>
      <c r="D18" s="178">
        <v>0.6</v>
      </c>
      <c r="E18" s="178"/>
      <c r="F18" s="178"/>
      <c r="H18" s="179">
        <f t="shared" si="4"/>
        <v>5333.333333333333</v>
      </c>
      <c r="I18" s="179">
        <f t="shared" si="0"/>
        <v>1259.2592592592591</v>
      </c>
      <c r="J18" s="179">
        <f t="shared" si="1"/>
        <v>11666.666666666668</v>
      </c>
      <c r="K18" s="159"/>
      <c r="L18" s="159"/>
      <c r="M18" s="159"/>
      <c r="N18" s="160">
        <f t="shared" si="5"/>
        <v>4.2352941176470589</v>
      </c>
      <c r="O18" s="160">
        <f t="shared" si="6"/>
        <v>0.45714285714285707</v>
      </c>
      <c r="Q18" s="146" t="s">
        <v>337</v>
      </c>
      <c r="S18" s="144">
        <v>0.2</v>
      </c>
      <c r="T18" s="145">
        <f t="shared" si="2"/>
        <v>1066.6666666666667</v>
      </c>
      <c r="U18" s="145">
        <f t="shared" si="3"/>
        <v>251.85185185185185</v>
      </c>
      <c r="V18" s="145">
        <f t="shared" si="3"/>
        <v>2333.3333333333335</v>
      </c>
      <c r="X18" s="180">
        <f t="shared" si="7"/>
        <v>0.2361111111111111</v>
      </c>
      <c r="Y18" s="180">
        <f t="shared" si="8"/>
        <v>4.2352941176470589</v>
      </c>
    </row>
    <row r="19" spans="1:25" ht="17.25" thickTop="1" thickBot="1" x14ac:dyDescent="0.3">
      <c r="A19" s="177" t="s">
        <v>338</v>
      </c>
      <c r="B19" s="178">
        <v>4</v>
      </c>
      <c r="C19" s="178">
        <v>4</v>
      </c>
      <c r="D19" s="178">
        <v>1.5</v>
      </c>
      <c r="E19" s="178"/>
      <c r="F19" s="178"/>
      <c r="H19" s="179">
        <f t="shared" si="4"/>
        <v>2000</v>
      </c>
      <c r="I19" s="179">
        <f t="shared" si="0"/>
        <v>424.99999999999994</v>
      </c>
      <c r="J19" s="179">
        <f t="shared" si="1"/>
        <v>4666.666666666667</v>
      </c>
      <c r="K19" s="159"/>
      <c r="L19" s="159"/>
      <c r="M19" s="159"/>
      <c r="N19" s="160">
        <f t="shared" si="5"/>
        <v>4.7058823529411775</v>
      </c>
      <c r="O19" s="160">
        <f t="shared" si="6"/>
        <v>0.42857142857142855</v>
      </c>
      <c r="Q19" s="146" t="s">
        <v>339</v>
      </c>
      <c r="S19" s="144">
        <v>0</v>
      </c>
      <c r="T19" s="145">
        <f t="shared" si="2"/>
        <v>0</v>
      </c>
      <c r="U19" s="145">
        <f t="shared" si="3"/>
        <v>0</v>
      </c>
      <c r="V19" s="145">
        <f t="shared" si="3"/>
        <v>0</v>
      </c>
      <c r="X19" s="180">
        <f t="shared" si="7"/>
        <v>0.21249999999999997</v>
      </c>
      <c r="Y19" s="180">
        <f t="shared" si="8"/>
        <v>4.7058823529411775</v>
      </c>
    </row>
    <row r="20" spans="1:25" ht="17.25" thickTop="1" thickBot="1" x14ac:dyDescent="0.3">
      <c r="A20" s="177" t="s">
        <v>340</v>
      </c>
      <c r="B20" s="178">
        <v>5.8</v>
      </c>
      <c r="C20" s="178">
        <v>2.1</v>
      </c>
      <c r="D20" s="178">
        <v>1.8</v>
      </c>
      <c r="E20" s="178"/>
      <c r="F20" s="178"/>
      <c r="H20" s="179">
        <f t="shared" si="4"/>
        <v>1379.3103448275863</v>
      </c>
      <c r="I20" s="179">
        <f t="shared" si="0"/>
        <v>809.5238095238094</v>
      </c>
      <c r="J20" s="179">
        <f t="shared" si="1"/>
        <v>3888.8888888888891</v>
      </c>
      <c r="K20" s="159"/>
      <c r="L20" s="159"/>
      <c r="M20" s="159"/>
      <c r="N20" s="160">
        <f t="shared" si="5"/>
        <v>1.7038539553752539</v>
      </c>
      <c r="O20" s="160">
        <f t="shared" si="6"/>
        <v>0.35467980295566504</v>
      </c>
      <c r="Q20" s="146" t="s">
        <v>341</v>
      </c>
      <c r="S20" s="144">
        <v>0</v>
      </c>
      <c r="T20" s="145">
        <f t="shared" si="2"/>
        <v>0</v>
      </c>
      <c r="U20" s="145">
        <f t="shared" si="3"/>
        <v>0</v>
      </c>
      <c r="V20" s="145">
        <f t="shared" si="3"/>
        <v>0</v>
      </c>
      <c r="X20" s="180">
        <f t="shared" si="7"/>
        <v>0.58690476190476182</v>
      </c>
      <c r="Y20" s="180">
        <f t="shared" si="8"/>
        <v>1.7038539553752539</v>
      </c>
    </row>
    <row r="21" spans="1:25" ht="17.25" thickTop="1" thickBot="1" x14ac:dyDescent="0.3">
      <c r="A21" s="177" t="s">
        <v>342</v>
      </c>
      <c r="B21" s="178">
        <v>2.4</v>
      </c>
      <c r="C21" s="178">
        <v>1.4</v>
      </c>
      <c r="D21" s="178">
        <v>0.6</v>
      </c>
      <c r="E21" s="178"/>
      <c r="F21" s="178"/>
      <c r="H21" s="179">
        <f t="shared" si="4"/>
        <v>3333.3333333333335</v>
      </c>
      <c r="I21" s="179">
        <f t="shared" si="0"/>
        <v>1214.2857142857144</v>
      </c>
      <c r="J21" s="179">
        <f t="shared" si="1"/>
        <v>11666.666666666668</v>
      </c>
      <c r="K21" s="159"/>
      <c r="L21" s="159"/>
      <c r="M21" s="159"/>
      <c r="N21" s="160">
        <f t="shared" si="5"/>
        <v>2.7450980392156858</v>
      </c>
      <c r="O21" s="160">
        <f t="shared" si="6"/>
        <v>0.2857142857142857</v>
      </c>
      <c r="Q21" s="146" t="s">
        <v>343</v>
      </c>
      <c r="S21" s="144">
        <v>0</v>
      </c>
      <c r="T21" s="145">
        <f t="shared" si="2"/>
        <v>0</v>
      </c>
      <c r="U21" s="145">
        <f t="shared" si="3"/>
        <v>0</v>
      </c>
      <c r="V21" s="145">
        <f t="shared" si="3"/>
        <v>0</v>
      </c>
      <c r="X21" s="180">
        <f t="shared" si="7"/>
        <v>0.36428571428571432</v>
      </c>
      <c r="Y21" s="180">
        <f t="shared" si="8"/>
        <v>2.7450980392156858</v>
      </c>
    </row>
    <row r="22" spans="1:25" ht="17.25" thickTop="1" thickBot="1" x14ac:dyDescent="0.3">
      <c r="A22" s="177" t="s">
        <v>344</v>
      </c>
      <c r="B22" s="178">
        <v>0.8</v>
      </c>
      <c r="C22" s="178">
        <v>0.15</v>
      </c>
      <c r="D22" s="178">
        <v>0.7</v>
      </c>
      <c r="E22" s="178"/>
      <c r="F22" s="178"/>
      <c r="H22" s="179">
        <f t="shared" si="4"/>
        <v>10000</v>
      </c>
      <c r="I22" s="179">
        <f t="shared" si="0"/>
        <v>11333.333333333334</v>
      </c>
      <c r="J22" s="179">
        <f t="shared" si="1"/>
        <v>10000</v>
      </c>
      <c r="K22" s="159"/>
      <c r="L22" s="159"/>
      <c r="M22" s="159"/>
      <c r="N22" s="160">
        <f t="shared" si="5"/>
        <v>0.88235294117647056</v>
      </c>
      <c r="O22" s="160">
        <f t="shared" si="6"/>
        <v>1</v>
      </c>
      <c r="Q22" s="146" t="s">
        <v>345</v>
      </c>
      <c r="S22" s="144">
        <v>0.9</v>
      </c>
      <c r="T22" s="145">
        <f t="shared" si="2"/>
        <v>9000</v>
      </c>
      <c r="U22" s="145">
        <f t="shared" si="3"/>
        <v>10200</v>
      </c>
      <c r="V22" s="145">
        <f t="shared" si="3"/>
        <v>9000</v>
      </c>
      <c r="X22" s="180">
        <f t="shared" si="7"/>
        <v>1.1333333333333333</v>
      </c>
      <c r="Y22" s="180">
        <f t="shared" si="8"/>
        <v>0.88235294117647056</v>
      </c>
    </row>
    <row r="23" spans="1:25" ht="17.25" thickTop="1" thickBot="1" x14ac:dyDescent="0.3">
      <c r="A23" s="181" t="s">
        <v>346</v>
      </c>
      <c r="B23" s="182">
        <v>2.69</v>
      </c>
      <c r="C23" s="183">
        <v>0.25</v>
      </c>
      <c r="D23" s="183">
        <v>1.82</v>
      </c>
      <c r="E23" s="2"/>
      <c r="F23" s="184"/>
      <c r="G23" s="184"/>
      <c r="H23" s="179">
        <f t="shared" si="4"/>
        <v>2973.9776951672866</v>
      </c>
      <c r="I23" s="179">
        <f t="shared" si="0"/>
        <v>6799.9999999999991</v>
      </c>
      <c r="J23" s="179">
        <f t="shared" si="1"/>
        <v>3846.1538461538457</v>
      </c>
      <c r="K23" s="184"/>
      <c r="L23" s="184"/>
      <c r="M23" s="184"/>
      <c r="N23" s="160">
        <f>H23/I23</f>
        <v>0.43734966105401279</v>
      </c>
      <c r="O23" s="160">
        <f>$H23/J23</f>
        <v>0.77323420074349458</v>
      </c>
      <c r="Q23" s="146"/>
      <c r="S23" s="144">
        <v>1</v>
      </c>
      <c r="T23" s="145">
        <f t="shared" si="2"/>
        <v>2973.9776951672866</v>
      </c>
      <c r="U23" s="145">
        <f t="shared" si="3"/>
        <v>6799.9999999999991</v>
      </c>
      <c r="V23" s="145">
        <f t="shared" si="3"/>
        <v>3846.1538461538457</v>
      </c>
      <c r="X23" s="180">
        <f t="shared" si="7"/>
        <v>2.2864999999999993</v>
      </c>
      <c r="Y23" s="180">
        <f t="shared" si="8"/>
        <v>0.43734966105401279</v>
      </c>
    </row>
    <row r="24" spans="1:25" ht="17.25" hidden="1" thickTop="1" thickBot="1" x14ac:dyDescent="0.3">
      <c r="A24" s="177" t="s">
        <v>347</v>
      </c>
      <c r="B24" s="178">
        <v>0.5</v>
      </c>
      <c r="C24" s="145"/>
      <c r="D24" s="145"/>
      <c r="E24" s="145"/>
      <c r="F24" s="145"/>
      <c r="H24" s="163">
        <f t="shared" ref="H24:H31" si="9">H$11/B24/10*$G$13</f>
        <v>16000</v>
      </c>
      <c r="I24" s="163"/>
      <c r="J24" s="163"/>
      <c r="K24" s="159"/>
      <c r="L24" s="159"/>
      <c r="M24" s="159"/>
      <c r="N24" s="160"/>
      <c r="O24" s="160"/>
      <c r="Q24" s="146" t="s">
        <v>348</v>
      </c>
      <c r="S24" s="144">
        <v>0</v>
      </c>
      <c r="T24" s="145">
        <f t="shared" si="2"/>
        <v>0</v>
      </c>
      <c r="U24" s="145">
        <f t="shared" si="3"/>
        <v>0</v>
      </c>
      <c r="V24" s="145">
        <f t="shared" si="3"/>
        <v>0</v>
      </c>
      <c r="X24" s="180">
        <f t="shared" si="7"/>
        <v>0</v>
      </c>
      <c r="Y24" s="180" t="e">
        <f t="shared" si="8"/>
        <v>#DIV/0!</v>
      </c>
    </row>
    <row r="25" spans="1:25" ht="17.25" hidden="1" thickTop="1" thickBot="1" x14ac:dyDescent="0.3">
      <c r="A25" s="177" t="s">
        <v>349</v>
      </c>
      <c r="B25" s="178">
        <v>1.5</v>
      </c>
      <c r="C25" s="145"/>
      <c r="D25" s="145"/>
      <c r="E25" s="145"/>
      <c r="F25" s="145"/>
      <c r="H25" s="163">
        <f t="shared" si="9"/>
        <v>5333.333333333333</v>
      </c>
      <c r="I25" s="159"/>
      <c r="J25" s="159"/>
      <c r="K25" s="159"/>
      <c r="L25" s="159"/>
      <c r="M25" s="159"/>
      <c r="N25" s="160"/>
      <c r="O25" s="160"/>
      <c r="Q25" s="146" t="s">
        <v>350</v>
      </c>
      <c r="S25" s="144">
        <v>0</v>
      </c>
      <c r="T25" s="145">
        <f t="shared" si="2"/>
        <v>0</v>
      </c>
      <c r="U25" s="145">
        <f t="shared" si="3"/>
        <v>0</v>
      </c>
      <c r="V25" s="145">
        <f t="shared" si="3"/>
        <v>0</v>
      </c>
      <c r="X25" s="180">
        <f t="shared" si="7"/>
        <v>0</v>
      </c>
      <c r="Y25" s="180" t="e">
        <f t="shared" si="8"/>
        <v>#DIV/0!</v>
      </c>
    </row>
    <row r="26" spans="1:25" ht="17.25" thickTop="1" thickBot="1" x14ac:dyDescent="0.3">
      <c r="A26" s="185" t="s">
        <v>351</v>
      </c>
      <c r="B26" s="178">
        <v>0.53</v>
      </c>
      <c r="C26" s="186">
        <v>0.88</v>
      </c>
      <c r="D26" s="186">
        <v>3.43</v>
      </c>
      <c r="E26" s="186">
        <v>1.29</v>
      </c>
      <c r="F26" s="186">
        <v>1.26</v>
      </c>
      <c r="H26" s="163">
        <f t="shared" si="9"/>
        <v>15094.339622641508</v>
      </c>
      <c r="I26" s="179">
        <f>I$11/C26/10*$G$13</f>
        <v>1931.8181818181818</v>
      </c>
      <c r="J26" s="179">
        <f>J$11/D26/10*$G$13</f>
        <v>2040.8163265306123</v>
      </c>
      <c r="K26" s="179">
        <f>K$11/E26/10*$G$13</f>
        <v>1317.8294573643409</v>
      </c>
      <c r="L26" s="159"/>
      <c r="M26" s="159"/>
      <c r="N26" s="160">
        <f t="shared" si="5"/>
        <v>7.8135405105438398</v>
      </c>
      <c r="O26" s="160">
        <f t="shared" si="6"/>
        <v>7.3962264150943389</v>
      </c>
      <c r="Q26" s="146" t="s">
        <v>352</v>
      </c>
      <c r="S26" s="144">
        <v>0</v>
      </c>
      <c r="T26" s="145">
        <f t="shared" si="2"/>
        <v>0</v>
      </c>
      <c r="U26" s="145">
        <f t="shared" si="3"/>
        <v>0</v>
      </c>
      <c r="V26" s="145">
        <f t="shared" si="3"/>
        <v>0</v>
      </c>
      <c r="X26" s="180">
        <f t="shared" si="7"/>
        <v>0.12798295454545455</v>
      </c>
      <c r="Y26" s="180">
        <f t="shared" si="8"/>
        <v>7.8135405105438398</v>
      </c>
    </row>
    <row r="27" spans="1:25" ht="17.25" thickTop="1" thickBot="1" x14ac:dyDescent="0.3">
      <c r="A27" s="181" t="s">
        <v>474</v>
      </c>
      <c r="B27" s="178">
        <v>1.5</v>
      </c>
      <c r="C27" s="186">
        <v>0.14000000000000001</v>
      </c>
      <c r="D27" s="264">
        <v>0.83</v>
      </c>
      <c r="E27" s="186"/>
      <c r="F27" s="186"/>
      <c r="H27" s="163">
        <f t="shared" si="9"/>
        <v>5333.333333333333</v>
      </c>
      <c r="I27" s="179">
        <f t="shared" ref="I27:J31" si="10">I$11/C27/10*$G$13</f>
        <v>12142.857142857139</v>
      </c>
      <c r="J27" s="179">
        <f t="shared" si="10"/>
        <v>8433.7349397590369</v>
      </c>
      <c r="K27" s="179"/>
      <c r="L27" s="159"/>
      <c r="M27" s="159"/>
      <c r="N27" s="160">
        <f>H27/I27</f>
        <v>0.43921568627450991</v>
      </c>
      <c r="O27" s="160">
        <f>$H27/J27</f>
        <v>0.63238095238095227</v>
      </c>
      <c r="Q27" s="146" t="s">
        <v>352</v>
      </c>
      <c r="S27" s="144">
        <v>0.5</v>
      </c>
      <c r="T27" s="145">
        <f t="shared" si="2"/>
        <v>2666.6666666666665</v>
      </c>
      <c r="U27" s="145">
        <f>$S27*I27</f>
        <v>6071.4285714285697</v>
      </c>
      <c r="V27" s="145">
        <f>$S27*J27</f>
        <v>4216.8674698795185</v>
      </c>
      <c r="X27" s="180">
        <f>I27/H27</f>
        <v>2.276785714285714</v>
      </c>
      <c r="Y27" s="180">
        <f>H27/I27</f>
        <v>0.43921568627450991</v>
      </c>
    </row>
    <row r="28" spans="1:25" ht="17.25" thickTop="1" thickBot="1" x14ac:dyDescent="0.3">
      <c r="A28" s="181" t="s">
        <v>353</v>
      </c>
      <c r="B28" s="178">
        <v>1.1000000000000001</v>
      </c>
      <c r="C28" s="186">
        <v>0.25</v>
      </c>
      <c r="D28" s="186">
        <v>0.83</v>
      </c>
      <c r="E28" s="186">
        <v>0.24</v>
      </c>
      <c r="F28" s="186"/>
      <c r="H28" s="163">
        <f t="shared" si="9"/>
        <v>7272.727272727273</v>
      </c>
      <c r="I28" s="179">
        <f t="shared" si="10"/>
        <v>6799.9999999999991</v>
      </c>
      <c r="J28" s="179">
        <f t="shared" si="10"/>
        <v>8433.7349397590369</v>
      </c>
      <c r="K28" s="179">
        <f>K$11/E28/10*$G$13</f>
        <v>7083.333333333333</v>
      </c>
      <c r="L28" s="159"/>
      <c r="M28" s="159"/>
      <c r="N28" s="160">
        <f>H28/I28</f>
        <v>1.0695187165775404</v>
      </c>
      <c r="O28" s="160">
        <f>$H28/J28</f>
        <v>0.86233766233766229</v>
      </c>
      <c r="Q28" s="146" t="s">
        <v>352</v>
      </c>
      <c r="S28" s="144">
        <v>0.5</v>
      </c>
      <c r="T28" s="145">
        <f t="shared" si="2"/>
        <v>3636.3636363636365</v>
      </c>
      <c r="U28" s="145">
        <f t="shared" si="3"/>
        <v>3399.9999999999995</v>
      </c>
      <c r="V28" s="145">
        <f t="shared" si="3"/>
        <v>4216.8674698795185</v>
      </c>
      <c r="X28" s="180">
        <f t="shared" si="7"/>
        <v>0.93499999999999983</v>
      </c>
      <c r="Y28" s="180">
        <f t="shared" si="8"/>
        <v>1.0695187165775404</v>
      </c>
    </row>
    <row r="29" spans="1:25" ht="17.25" thickTop="1" thickBot="1" x14ac:dyDescent="0.3">
      <c r="A29" s="181" t="s">
        <v>354</v>
      </c>
      <c r="B29" s="178">
        <v>0.75</v>
      </c>
      <c r="C29" s="186">
        <v>0.3</v>
      </c>
      <c r="D29" s="186">
        <v>0.35</v>
      </c>
      <c r="E29" s="186">
        <v>0.2</v>
      </c>
      <c r="F29" s="186"/>
      <c r="H29" s="163">
        <f t="shared" si="9"/>
        <v>10666.666666666666</v>
      </c>
      <c r="I29" s="179">
        <f t="shared" si="10"/>
        <v>5666.666666666667</v>
      </c>
      <c r="J29" s="179">
        <f t="shared" si="10"/>
        <v>20000</v>
      </c>
      <c r="K29" s="179">
        <f>K$11/E29/10*$G$13</f>
        <v>8500</v>
      </c>
      <c r="L29" s="159"/>
      <c r="M29" s="159"/>
      <c r="N29" s="160">
        <f>H29/I29</f>
        <v>1.8823529411764703</v>
      </c>
      <c r="O29" s="160">
        <f>$H29/J29</f>
        <v>0.53333333333333333</v>
      </c>
      <c r="Q29" s="146" t="s">
        <v>352</v>
      </c>
      <c r="S29" s="144">
        <v>0.5</v>
      </c>
      <c r="T29" s="145">
        <f t="shared" si="2"/>
        <v>5333.333333333333</v>
      </c>
      <c r="U29" s="145">
        <f t="shared" si="3"/>
        <v>2833.3333333333335</v>
      </c>
      <c r="V29" s="145">
        <f t="shared" si="3"/>
        <v>10000</v>
      </c>
      <c r="X29" s="180">
        <f t="shared" si="7"/>
        <v>0.53125000000000011</v>
      </c>
      <c r="Y29" s="180">
        <f t="shared" si="8"/>
        <v>1.8823529411764703</v>
      </c>
    </row>
    <row r="30" spans="1:25" ht="17.25" thickTop="1" thickBot="1" x14ac:dyDescent="0.3">
      <c r="A30" s="181" t="s">
        <v>355</v>
      </c>
      <c r="B30" s="178">
        <v>0.9</v>
      </c>
      <c r="C30" s="186">
        <v>0.3</v>
      </c>
      <c r="D30" s="186">
        <v>0.8</v>
      </c>
      <c r="E30" s="186"/>
      <c r="F30" s="186"/>
      <c r="H30" s="163">
        <f t="shared" si="9"/>
        <v>8888.8888888888887</v>
      </c>
      <c r="I30" s="179">
        <f t="shared" si="10"/>
        <v>5666.666666666667</v>
      </c>
      <c r="J30" s="179">
        <f t="shared" si="10"/>
        <v>8750</v>
      </c>
      <c r="K30" s="179"/>
      <c r="L30" s="159"/>
      <c r="M30" s="159"/>
      <c r="N30" s="160">
        <f>H30/I30</f>
        <v>1.5686274509803921</v>
      </c>
      <c r="O30" s="160">
        <f>$H30/J30</f>
        <v>1.0158730158730158</v>
      </c>
      <c r="Q30" s="146" t="s">
        <v>352</v>
      </c>
      <c r="S30" s="144">
        <v>0</v>
      </c>
      <c r="T30" s="145">
        <f t="shared" si="2"/>
        <v>0</v>
      </c>
      <c r="U30" s="145">
        <f t="shared" si="3"/>
        <v>0</v>
      </c>
      <c r="V30" s="145">
        <f t="shared" si="3"/>
        <v>0</v>
      </c>
      <c r="X30" s="180">
        <f t="shared" si="7"/>
        <v>0.63750000000000007</v>
      </c>
      <c r="Y30" s="180">
        <f t="shared" si="8"/>
        <v>1.5686274509803921</v>
      </c>
    </row>
    <row r="31" spans="1:25" ht="17.25" thickTop="1" thickBot="1" x14ac:dyDescent="0.3">
      <c r="A31" s="181" t="s">
        <v>356</v>
      </c>
      <c r="B31" s="178">
        <f>AVERAGE(B29:B30)</f>
        <v>0.82499999999999996</v>
      </c>
      <c r="C31" s="178">
        <f>AVERAGE(C29:C30)</f>
        <v>0.3</v>
      </c>
      <c r="D31" s="178">
        <f>AVERAGE(D29:D30)</f>
        <v>0.57499999999999996</v>
      </c>
      <c r="E31" s="178">
        <f>AVERAGE(E29:E30)</f>
        <v>0.2</v>
      </c>
      <c r="F31" s="178"/>
      <c r="H31" s="163">
        <f t="shared" si="9"/>
        <v>9696.9696969696979</v>
      </c>
      <c r="I31" s="179">
        <f t="shared" si="10"/>
        <v>5666.666666666667</v>
      </c>
      <c r="J31" s="179">
        <f t="shared" si="10"/>
        <v>12173.913043478262</v>
      </c>
      <c r="K31" s="179"/>
      <c r="L31" s="159"/>
      <c r="M31" s="159"/>
      <c r="N31" s="160"/>
      <c r="O31" s="160"/>
      <c r="Q31" s="146"/>
      <c r="S31" s="144">
        <v>0</v>
      </c>
      <c r="T31" s="145">
        <f t="shared" si="2"/>
        <v>0</v>
      </c>
      <c r="U31" s="145">
        <f t="shared" ref="U31:V34" si="11">$S31*I31</f>
        <v>0</v>
      </c>
      <c r="V31" s="145">
        <f t="shared" si="11"/>
        <v>0</v>
      </c>
      <c r="X31" s="180">
        <f t="shared" si="7"/>
        <v>0.58437499999999998</v>
      </c>
      <c r="Y31" s="180">
        <f t="shared" si="8"/>
        <v>1.7112299465240643</v>
      </c>
    </row>
    <row r="32" spans="1:25" ht="17.25" thickTop="1" thickBot="1" x14ac:dyDescent="0.3">
      <c r="A32" s="185" t="s">
        <v>357</v>
      </c>
      <c r="B32" s="178">
        <v>0</v>
      </c>
      <c r="C32" s="186">
        <v>0.15</v>
      </c>
      <c r="D32" s="186">
        <v>0.7</v>
      </c>
      <c r="E32" s="186"/>
      <c r="F32" s="186"/>
      <c r="H32" s="163"/>
      <c r="I32" s="179">
        <f t="shared" ref="I32:J34" si="12">I$11/C32/10*$G$13</f>
        <v>11333.333333333334</v>
      </c>
      <c r="J32" s="179">
        <f t="shared" si="12"/>
        <v>10000</v>
      </c>
      <c r="K32" s="179"/>
      <c r="L32" s="159"/>
      <c r="M32" s="159"/>
      <c r="N32" s="160">
        <f t="shared" si="5"/>
        <v>0</v>
      </c>
      <c r="O32" s="160">
        <f t="shared" si="6"/>
        <v>0</v>
      </c>
      <c r="Q32" s="146"/>
      <c r="S32" s="144">
        <v>0.5</v>
      </c>
      <c r="T32" s="145">
        <f t="shared" si="2"/>
        <v>0</v>
      </c>
      <c r="U32" s="145">
        <f t="shared" si="11"/>
        <v>5666.666666666667</v>
      </c>
      <c r="V32" s="145">
        <f t="shared" si="11"/>
        <v>5000</v>
      </c>
      <c r="X32" s="180" t="e">
        <f t="shared" si="7"/>
        <v>#DIV/0!</v>
      </c>
      <c r="Y32" s="180">
        <f t="shared" si="8"/>
        <v>0</v>
      </c>
    </row>
    <row r="33" spans="1:25" ht="17.25" thickTop="1" thickBot="1" x14ac:dyDescent="0.3">
      <c r="A33" s="185" t="s">
        <v>358</v>
      </c>
      <c r="B33" s="178">
        <v>4.3999999999999997E-2</v>
      </c>
      <c r="C33" s="186">
        <v>0.03</v>
      </c>
      <c r="D33" s="186">
        <v>7.5999999999999998E-2</v>
      </c>
      <c r="E33" s="186">
        <v>0.47</v>
      </c>
      <c r="F33" s="186"/>
      <c r="H33" s="163">
        <f>H$11/B33/10*$G$13</f>
        <v>181818.18181818182</v>
      </c>
      <c r="I33" s="179">
        <f t="shared" si="12"/>
        <v>56666.666666666664</v>
      </c>
      <c r="J33" s="179">
        <f t="shared" si="12"/>
        <v>92105.263157894748</v>
      </c>
      <c r="K33" s="179">
        <f>K$11/E33/10*$G$13</f>
        <v>3617.0212765957449</v>
      </c>
      <c r="L33" s="159"/>
      <c r="M33" s="159"/>
      <c r="N33" s="160">
        <f>H33/I33</f>
        <v>3.2085561497326207</v>
      </c>
      <c r="O33" s="160">
        <f>$H33/J33</f>
        <v>1.9740259740259738</v>
      </c>
      <c r="Q33" s="146"/>
      <c r="S33" s="144">
        <v>0.1</v>
      </c>
      <c r="T33" s="145">
        <f t="shared" si="2"/>
        <v>18181.818181818184</v>
      </c>
      <c r="U33" s="145">
        <f t="shared" si="11"/>
        <v>5666.666666666667</v>
      </c>
      <c r="V33" s="145">
        <f t="shared" si="11"/>
        <v>9210.5263157894751</v>
      </c>
      <c r="X33" s="180">
        <f t="shared" si="7"/>
        <v>0.31166666666666665</v>
      </c>
      <c r="Y33" s="180">
        <f t="shared" si="8"/>
        <v>3.2085561497326207</v>
      </c>
    </row>
    <row r="34" spans="1:25" ht="17.25" thickTop="1" thickBot="1" x14ac:dyDescent="0.3">
      <c r="A34" s="185" t="s">
        <v>359</v>
      </c>
      <c r="B34" s="178">
        <v>7.5999999999999998E-2</v>
      </c>
      <c r="C34" s="186">
        <v>7.8E-2</v>
      </c>
      <c r="D34" s="186">
        <v>0.127</v>
      </c>
      <c r="E34" s="186">
        <v>0.51400000000000001</v>
      </c>
      <c r="F34" s="186"/>
      <c r="H34" s="163">
        <f>H$11/B34/10*$G$13</f>
        <v>105263.15789473685</v>
      </c>
      <c r="I34" s="179">
        <f t="shared" si="12"/>
        <v>21794.871794871797</v>
      </c>
      <c r="J34" s="179">
        <f t="shared" si="12"/>
        <v>55118.110236220469</v>
      </c>
      <c r="K34" s="179">
        <f>K$11/E34/10*$G$13</f>
        <v>3307.3929961089493</v>
      </c>
      <c r="L34" s="159"/>
      <c r="M34" s="159"/>
      <c r="N34" s="160">
        <f>H34/I34</f>
        <v>4.829721362229102</v>
      </c>
      <c r="O34" s="160">
        <f>$H34/J34</f>
        <v>1.9097744360902258</v>
      </c>
      <c r="Q34" s="146"/>
      <c r="S34" s="144">
        <v>0</v>
      </c>
      <c r="T34" s="145">
        <f t="shared" si="2"/>
        <v>0</v>
      </c>
      <c r="U34" s="145">
        <f t="shared" si="11"/>
        <v>0</v>
      </c>
      <c r="V34" s="145">
        <f t="shared" si="11"/>
        <v>0</v>
      </c>
      <c r="X34" s="180">
        <f t="shared" si="7"/>
        <v>0.20705128205128204</v>
      </c>
      <c r="Y34" s="180">
        <f t="shared" si="8"/>
        <v>4.829721362229102</v>
      </c>
    </row>
    <row r="35" spans="1:25" ht="17.25" thickTop="1" thickBot="1" x14ac:dyDescent="0.3">
      <c r="A35" s="185"/>
      <c r="B35" s="178"/>
      <c r="C35" s="186"/>
      <c r="D35" s="186"/>
      <c r="E35" s="186"/>
      <c r="F35" s="186"/>
      <c r="H35" s="163"/>
      <c r="I35" s="179"/>
      <c r="J35" s="179"/>
      <c r="K35" s="179"/>
      <c r="L35" s="159"/>
      <c r="M35" s="159"/>
      <c r="N35" s="160"/>
      <c r="O35" s="160"/>
      <c r="Q35" s="146" t="s">
        <v>475</v>
      </c>
      <c r="X35" s="180"/>
      <c r="Y35" s="180"/>
    </row>
    <row r="36" spans="1:25" ht="17.25" thickTop="1" thickBot="1" x14ac:dyDescent="0.3">
      <c r="A36" t="s">
        <v>360</v>
      </c>
      <c r="H36" s="159"/>
      <c r="I36" s="159"/>
      <c r="J36" s="159"/>
      <c r="K36" s="159"/>
      <c r="L36" s="159"/>
      <c r="M36" s="159"/>
      <c r="N36" s="159"/>
      <c r="Q36" s="146" t="s">
        <v>316</v>
      </c>
      <c r="S36" s="144" t="s">
        <v>361</v>
      </c>
      <c r="T36" s="187">
        <f>SUM(T14:T34)</f>
        <v>49012.672333861927</v>
      </c>
      <c r="U36" s="187">
        <f>SUM(U14:U34)</f>
        <v>42778.835978835974</v>
      </c>
      <c r="V36" s="187">
        <f>SUM(V14:V34)</f>
        <v>54823.74843503569</v>
      </c>
    </row>
    <row r="37" spans="1:25" ht="17.25" thickTop="1" thickBot="1" x14ac:dyDescent="0.3">
      <c r="A37" s="188" t="s">
        <v>362</v>
      </c>
      <c r="B37" s="189"/>
      <c r="C37" s="189"/>
      <c r="D37" s="190"/>
      <c r="E37" s="191"/>
      <c r="F37" s="191"/>
      <c r="H37" s="159"/>
      <c r="I37" s="159"/>
      <c r="J37" s="159"/>
      <c r="K37" s="159"/>
      <c r="L37" s="159"/>
      <c r="M37" s="192"/>
      <c r="N37" s="159"/>
      <c r="Q37" s="146" t="s">
        <v>363</v>
      </c>
      <c r="S37" s="144">
        <f>SUM(S14:S36)</f>
        <v>4.6999999999999993</v>
      </c>
    </row>
    <row r="38" spans="1:25" ht="16.5" thickTop="1" x14ac:dyDescent="0.25">
      <c r="A38" s="193" t="s">
        <v>328</v>
      </c>
      <c r="B38" s="194" t="s">
        <v>364</v>
      </c>
      <c r="C38" s="194" t="s">
        <v>365</v>
      </c>
      <c r="D38" s="195" t="s">
        <v>366</v>
      </c>
      <c r="E38" s="194"/>
      <c r="F38" s="194"/>
      <c r="H38" s="159"/>
      <c r="I38" s="159"/>
      <c r="J38" s="159"/>
      <c r="K38" s="196" t="s">
        <v>367</v>
      </c>
      <c r="L38" s="159"/>
      <c r="M38" s="159"/>
      <c r="N38" s="159"/>
    </row>
    <row r="39" spans="1:25" x14ac:dyDescent="0.25">
      <c r="A39" s="193" t="s">
        <v>330</v>
      </c>
      <c r="B39" s="194" t="s">
        <v>368</v>
      </c>
      <c r="C39" s="194" t="s">
        <v>369</v>
      </c>
      <c r="D39" s="195" t="s">
        <v>370</v>
      </c>
      <c r="E39" s="194"/>
      <c r="F39" s="194"/>
      <c r="H39" s="159"/>
      <c r="I39" s="159"/>
      <c r="J39" s="159"/>
      <c r="K39" s="196" t="s">
        <v>371</v>
      </c>
      <c r="L39" s="159"/>
      <c r="M39" s="159"/>
      <c r="N39" s="159"/>
    </row>
    <row r="40" spans="1:25" x14ac:dyDescent="0.25">
      <c r="A40" s="193" t="s">
        <v>332</v>
      </c>
      <c r="B40" s="194">
        <v>0.6</v>
      </c>
      <c r="C40" s="194">
        <v>0.6</v>
      </c>
      <c r="D40" s="195">
        <v>0.4</v>
      </c>
      <c r="E40" s="194"/>
      <c r="F40" s="194"/>
      <c r="H40" s="159"/>
      <c r="I40" s="159"/>
      <c r="J40" s="159"/>
      <c r="K40" s="196" t="s">
        <v>372</v>
      </c>
      <c r="L40" s="159"/>
      <c r="M40" s="159"/>
      <c r="N40" s="159"/>
    </row>
    <row r="41" spans="1:25" x14ac:dyDescent="0.25">
      <c r="A41" s="193" t="s">
        <v>334</v>
      </c>
      <c r="B41" s="194">
        <v>0.8</v>
      </c>
      <c r="C41" s="194">
        <v>0.5</v>
      </c>
      <c r="D41" s="195">
        <v>0.5</v>
      </c>
      <c r="E41" s="194"/>
      <c r="F41" s="194"/>
      <c r="H41" s="159"/>
      <c r="I41" s="159"/>
      <c r="J41" s="159"/>
      <c r="K41" s="196" t="s">
        <v>373</v>
      </c>
      <c r="L41" s="159"/>
      <c r="M41" s="159"/>
      <c r="N41" s="159"/>
    </row>
    <row r="42" spans="1:25" x14ac:dyDescent="0.25">
      <c r="A42" s="193" t="s">
        <v>336</v>
      </c>
      <c r="B42" s="194">
        <v>1.5</v>
      </c>
      <c r="C42" s="194" t="s">
        <v>374</v>
      </c>
      <c r="D42" s="195" t="s">
        <v>375</v>
      </c>
      <c r="E42" s="194"/>
      <c r="F42" s="194"/>
      <c r="H42" s="159"/>
      <c r="I42" s="159"/>
      <c r="J42" s="159"/>
      <c r="K42" s="159"/>
      <c r="L42" s="159"/>
      <c r="M42" s="159"/>
      <c r="N42" s="159"/>
    </row>
    <row r="43" spans="1:25" x14ac:dyDescent="0.25">
      <c r="A43" s="193" t="s">
        <v>338</v>
      </c>
      <c r="B43" s="194">
        <v>4</v>
      </c>
      <c r="C43" s="194">
        <v>4</v>
      </c>
      <c r="D43" s="195">
        <v>1.5</v>
      </c>
      <c r="E43" s="194"/>
      <c r="F43" s="194"/>
      <c r="H43" s="159"/>
      <c r="I43" s="159"/>
      <c r="J43" s="159"/>
      <c r="K43" s="159"/>
      <c r="L43" s="159"/>
      <c r="M43" s="159"/>
      <c r="N43" s="159"/>
    </row>
    <row r="44" spans="1:25" x14ac:dyDescent="0.25">
      <c r="A44" s="193" t="s">
        <v>340</v>
      </c>
      <c r="B44" s="194">
        <v>5.8</v>
      </c>
      <c r="C44" s="194">
        <v>2.1</v>
      </c>
      <c r="D44" s="195">
        <v>1.8</v>
      </c>
      <c r="E44" s="194"/>
      <c r="F44" s="194"/>
      <c r="H44" s="159"/>
      <c r="I44" s="159"/>
      <c r="J44" s="159"/>
      <c r="K44" s="159"/>
      <c r="L44" s="159"/>
      <c r="M44" s="159"/>
      <c r="N44" s="159"/>
    </row>
    <row r="45" spans="1:25" ht="16.5" thickBot="1" x14ac:dyDescent="0.3">
      <c r="A45" s="197" t="s">
        <v>342</v>
      </c>
      <c r="B45" s="198">
        <v>2.4</v>
      </c>
      <c r="C45" s="198">
        <v>1.4</v>
      </c>
      <c r="D45" s="199">
        <v>0.6</v>
      </c>
      <c r="E45" s="194"/>
      <c r="F45" s="194"/>
      <c r="H45" s="159"/>
      <c r="I45" s="159"/>
      <c r="J45" s="159"/>
      <c r="K45" s="159"/>
      <c r="L45" s="159"/>
      <c r="M45" s="159"/>
      <c r="N45" s="159"/>
    </row>
    <row r="46" spans="1:25" x14ac:dyDescent="0.25">
      <c r="A46" s="200" t="s">
        <v>376</v>
      </c>
      <c r="B46" s="142"/>
      <c r="C46" s="142"/>
      <c r="D46" s="142"/>
      <c r="E46" s="142"/>
      <c r="F46" s="142"/>
    </row>
    <row r="47" spans="1:25" x14ac:dyDescent="0.25">
      <c r="A47" s="200" t="s">
        <v>377</v>
      </c>
      <c r="B47" s="142"/>
      <c r="C47" s="142"/>
      <c r="D47" s="142"/>
      <c r="E47" s="142"/>
      <c r="F47" s="142"/>
    </row>
    <row r="48" spans="1:25" x14ac:dyDescent="0.25">
      <c r="A48" s="200"/>
      <c r="B48" s="142"/>
      <c r="C48" s="142"/>
      <c r="D48" s="142"/>
      <c r="E48" s="142"/>
      <c r="F48" s="142"/>
    </row>
    <row r="49" spans="1:11" ht="23.25" x14ac:dyDescent="0.35">
      <c r="A49" s="148" t="s">
        <v>378</v>
      </c>
      <c r="B49" s="142"/>
      <c r="C49" s="142"/>
      <c r="D49" s="142"/>
      <c r="E49" s="142"/>
      <c r="F49" s="142"/>
    </row>
    <row r="50" spans="1:11" x14ac:dyDescent="0.25">
      <c r="B50" s="142"/>
      <c r="C50" s="142"/>
      <c r="D50" s="142"/>
      <c r="E50" s="142"/>
      <c r="F50" s="142"/>
    </row>
    <row r="51" spans="1:11" x14ac:dyDescent="0.25">
      <c r="A51" s="270" t="s">
        <v>379</v>
      </c>
      <c r="B51" s="270"/>
      <c r="C51" s="270"/>
      <c r="D51" s="270"/>
      <c r="E51" s="270"/>
      <c r="F51" s="270"/>
      <c r="G51" s="270"/>
      <c r="H51" s="270"/>
      <c r="I51" s="270"/>
      <c r="J51" s="270"/>
      <c r="K51" s="270"/>
    </row>
    <row r="52" spans="1:11" x14ac:dyDescent="0.25">
      <c r="B52" s="142"/>
      <c r="C52" s="142"/>
      <c r="D52" s="142"/>
      <c r="E52" s="142"/>
      <c r="F52" s="142"/>
    </row>
    <row r="53" spans="1:11" x14ac:dyDescent="0.25">
      <c r="A53" s="270" t="s">
        <v>380</v>
      </c>
      <c r="B53" s="270"/>
      <c r="C53" s="270"/>
      <c r="D53" s="270"/>
      <c r="E53" s="270"/>
      <c r="F53" s="270"/>
      <c r="G53" s="270"/>
      <c r="H53" s="270"/>
      <c r="I53" s="270"/>
      <c r="J53" s="270"/>
      <c r="K53" s="270"/>
    </row>
    <row r="54" spans="1:11" x14ac:dyDescent="0.25">
      <c r="B54" s="142"/>
      <c r="C54" s="142"/>
      <c r="D54" s="142"/>
      <c r="E54" s="142"/>
      <c r="F54" s="142"/>
    </row>
    <row r="55" spans="1:11" x14ac:dyDescent="0.25">
      <c r="B55" s="142"/>
      <c r="C55" s="142"/>
      <c r="D55" s="142"/>
      <c r="E55" s="142"/>
      <c r="F55" s="142"/>
    </row>
    <row r="56" spans="1:11" ht="23.25" x14ac:dyDescent="0.35">
      <c r="A56" s="148" t="s">
        <v>381</v>
      </c>
      <c r="B56" s="142"/>
      <c r="C56" s="142"/>
      <c r="D56" s="142"/>
      <c r="E56" s="142"/>
      <c r="F56" s="142"/>
    </row>
    <row r="57" spans="1:11" x14ac:dyDescent="0.25">
      <c r="B57" s="142"/>
      <c r="C57" s="142"/>
      <c r="D57" s="142"/>
      <c r="E57" s="142"/>
      <c r="F57" s="142"/>
    </row>
    <row r="58" spans="1:11" x14ac:dyDescent="0.25">
      <c r="A58" s="270" t="s">
        <v>382</v>
      </c>
      <c r="B58" s="270"/>
      <c r="C58" s="270"/>
      <c r="D58" s="270"/>
      <c r="E58" s="270"/>
      <c r="F58" s="270"/>
      <c r="G58" s="270"/>
      <c r="H58" s="270"/>
      <c r="I58" s="270"/>
      <c r="J58" s="270"/>
      <c r="K58" s="270"/>
    </row>
    <row r="59" spans="1:11" x14ac:dyDescent="0.25">
      <c r="B59" s="142"/>
      <c r="C59" s="142"/>
      <c r="D59" s="142"/>
      <c r="E59" s="142"/>
      <c r="F59" s="142"/>
    </row>
    <row r="60" spans="1:11" x14ac:dyDescent="0.25">
      <c r="A60" s="270" t="s">
        <v>383</v>
      </c>
      <c r="B60" s="270"/>
      <c r="C60" s="270"/>
      <c r="D60" s="270"/>
      <c r="E60" s="270"/>
      <c r="F60" s="270"/>
      <c r="G60" s="270"/>
      <c r="H60" s="270"/>
      <c r="I60" s="270"/>
      <c r="J60" s="270"/>
      <c r="K60" s="270"/>
    </row>
    <row r="63" spans="1:11" ht="18" x14ac:dyDescent="0.3">
      <c r="A63" s="201" t="s">
        <v>384</v>
      </c>
    </row>
    <row r="65" spans="1:7" x14ac:dyDescent="0.25">
      <c r="A65" s="181"/>
      <c r="B65" s="5" t="s">
        <v>385</v>
      </c>
      <c r="C65" s="5"/>
      <c r="D65" s="5"/>
      <c r="E65" s="5"/>
      <c r="F65" s="5"/>
      <c r="G65" s="5"/>
    </row>
    <row r="66" spans="1:7" x14ac:dyDescent="0.25">
      <c r="A66" s="181" t="s">
        <v>386</v>
      </c>
      <c r="B66" s="181">
        <v>5</v>
      </c>
      <c r="C66" s="5"/>
      <c r="D66" s="5"/>
      <c r="E66" s="5"/>
      <c r="F66" s="5"/>
      <c r="G66" s="5"/>
    </row>
    <row r="67" spans="1:7" x14ac:dyDescent="0.25">
      <c r="A67" s="181" t="s">
        <v>387</v>
      </c>
      <c r="B67" s="181" t="s">
        <v>388</v>
      </c>
      <c r="C67" s="5"/>
      <c r="D67" s="5"/>
      <c r="E67" s="5"/>
      <c r="F67" s="5"/>
      <c r="G67" s="5"/>
    </row>
    <row r="68" spans="1:7" x14ac:dyDescent="0.25">
      <c r="A68" s="181" t="s">
        <v>389</v>
      </c>
      <c r="B68" s="181">
        <v>5.0999999999999996</v>
      </c>
      <c r="C68" s="5"/>
      <c r="D68" s="5"/>
      <c r="E68" s="5"/>
      <c r="F68" s="5"/>
      <c r="G68" s="5"/>
    </row>
    <row r="69" spans="1:7" x14ac:dyDescent="0.25">
      <c r="A69" s="181" t="s">
        <v>390</v>
      </c>
      <c r="B69" s="181">
        <v>7</v>
      </c>
      <c r="C69" s="5"/>
      <c r="D69" s="5"/>
      <c r="E69" s="5"/>
      <c r="F69" s="5"/>
      <c r="G69" s="5"/>
    </row>
    <row r="70" spans="1:7" x14ac:dyDescent="0.25">
      <c r="A70" s="181" t="s">
        <v>391</v>
      </c>
      <c r="B70" s="181">
        <v>26.9</v>
      </c>
      <c r="C70" s="5"/>
      <c r="D70" s="5"/>
      <c r="E70" s="5"/>
      <c r="F70" s="5"/>
      <c r="G70" s="5"/>
    </row>
    <row r="71" spans="1:7" x14ac:dyDescent="0.25">
      <c r="A71" s="181" t="s">
        <v>392</v>
      </c>
      <c r="B71" s="181">
        <v>6.9</v>
      </c>
      <c r="C71" s="5"/>
      <c r="D71" s="5"/>
      <c r="E71" s="5"/>
      <c r="F71" s="5"/>
      <c r="G71" s="5"/>
    </row>
    <row r="72" spans="1:7" x14ac:dyDescent="0.25">
      <c r="A72" s="181" t="s">
        <v>393</v>
      </c>
      <c r="B72" s="181">
        <v>7.9</v>
      </c>
      <c r="C72" s="5"/>
      <c r="D72" s="5"/>
      <c r="E72" s="5"/>
      <c r="F72" s="5"/>
      <c r="G72" s="5"/>
    </row>
    <row r="73" spans="1:7" x14ac:dyDescent="0.25">
      <c r="A73" s="181" t="s">
        <v>394</v>
      </c>
      <c r="B73" s="181">
        <v>5.6</v>
      </c>
      <c r="C73" s="5"/>
      <c r="D73" s="5"/>
      <c r="E73" s="5"/>
      <c r="F73" s="5"/>
      <c r="G73" s="5"/>
    </row>
    <row r="74" spans="1:7" x14ac:dyDescent="0.25">
      <c r="A74" s="5"/>
      <c r="B74" s="5"/>
      <c r="C74" s="5"/>
      <c r="D74" s="5"/>
      <c r="E74" s="5"/>
      <c r="F74" s="5"/>
      <c r="G74" s="5"/>
    </row>
    <row r="75" spans="1:7" ht="18" x14ac:dyDescent="0.3">
      <c r="A75" s="201" t="s">
        <v>395</v>
      </c>
    </row>
    <row r="77" spans="1:7" x14ac:dyDescent="0.25">
      <c r="A77" t="s">
        <v>396</v>
      </c>
    </row>
    <row r="79" spans="1:7" x14ac:dyDescent="0.25">
      <c r="A79" s="177" t="s">
        <v>397</v>
      </c>
      <c r="B79" s="177">
        <v>80</v>
      </c>
    </row>
    <row r="80" spans="1:7" x14ac:dyDescent="0.25">
      <c r="A80" s="177" t="s">
        <v>398</v>
      </c>
      <c r="B80" s="177">
        <v>100</v>
      </c>
    </row>
    <row r="81" spans="1:12" x14ac:dyDescent="0.25">
      <c r="A81" s="177" t="s">
        <v>399</v>
      </c>
      <c r="B81" s="177">
        <v>160</v>
      </c>
    </row>
    <row r="82" spans="1:12" x14ac:dyDescent="0.25">
      <c r="A82" s="177" t="s">
        <v>400</v>
      </c>
      <c r="B82" s="177">
        <v>140</v>
      </c>
    </row>
    <row r="83" spans="1:12" x14ac:dyDescent="0.25">
      <c r="A83" s="177" t="s">
        <v>401</v>
      </c>
      <c r="B83" s="177">
        <v>100</v>
      </c>
    </row>
    <row r="84" spans="1:12" x14ac:dyDescent="0.25">
      <c r="A84" s="177" t="s">
        <v>402</v>
      </c>
      <c r="B84" s="177">
        <v>140</v>
      </c>
    </row>
    <row r="85" spans="1:12" x14ac:dyDescent="0.25">
      <c r="A85" s="177" t="s">
        <v>403</v>
      </c>
      <c r="B85" s="177">
        <v>85</v>
      </c>
    </row>
    <row r="86" spans="1:12" x14ac:dyDescent="0.25">
      <c r="A86" s="177" t="s">
        <v>404</v>
      </c>
      <c r="B86" s="177">
        <v>100</v>
      </c>
    </row>
    <row r="88" spans="1:12" x14ac:dyDescent="0.25">
      <c r="A88" s="202" t="s">
        <v>405</v>
      </c>
      <c r="B88" s="202"/>
      <c r="C88" s="202"/>
      <c r="D88" s="202"/>
      <c r="E88" s="202"/>
      <c r="F88" s="202"/>
      <c r="G88" s="202"/>
      <c r="H88" s="202"/>
      <c r="I88" s="202"/>
      <c r="J88" s="202"/>
    </row>
    <row r="90" spans="1:12" ht="23.25" x14ac:dyDescent="0.35">
      <c r="A90" s="203" t="s">
        <v>406</v>
      </c>
    </row>
    <row r="91" spans="1:12" x14ac:dyDescent="0.25">
      <c r="A91" s="204"/>
    </row>
    <row r="92" spans="1:12" x14ac:dyDescent="0.25">
      <c r="A92" s="204" t="s">
        <v>407</v>
      </c>
    </row>
    <row r="93" spans="1:12" x14ac:dyDescent="0.25">
      <c r="A93" s="204"/>
    </row>
    <row r="94" spans="1:12" x14ac:dyDescent="0.25">
      <c r="A94" s="269" t="s">
        <v>408</v>
      </c>
      <c r="B94" s="270"/>
      <c r="C94" s="270"/>
      <c r="D94" s="270"/>
      <c r="E94" s="270"/>
      <c r="F94" s="270"/>
      <c r="G94" s="270"/>
      <c r="H94" s="270"/>
      <c r="I94" s="270"/>
      <c r="J94" s="270"/>
      <c r="K94" s="270"/>
      <c r="L94" s="270"/>
    </row>
    <row r="95" spans="1:12" x14ac:dyDescent="0.25">
      <c r="A95" s="204"/>
    </row>
    <row r="96" spans="1:12" x14ac:dyDescent="0.25">
      <c r="A96" s="269" t="s">
        <v>409</v>
      </c>
      <c r="B96" s="270"/>
      <c r="C96" s="270"/>
      <c r="D96" s="270"/>
      <c r="E96" s="270"/>
      <c r="F96" s="270"/>
      <c r="G96" s="270"/>
      <c r="H96" s="270"/>
      <c r="I96" s="270"/>
      <c r="J96" s="270"/>
      <c r="K96" s="270"/>
      <c r="L96" s="270"/>
    </row>
    <row r="98" spans="1:22" ht="17.25" x14ac:dyDescent="0.25">
      <c r="A98" s="205" t="s">
        <v>410</v>
      </c>
    </row>
    <row r="100" spans="1:22" x14ac:dyDescent="0.25">
      <c r="A100" t="s">
        <v>396</v>
      </c>
    </row>
    <row r="101" spans="1:22" x14ac:dyDescent="0.25">
      <c r="B101" s="2" t="s">
        <v>411</v>
      </c>
    </row>
    <row r="102" spans="1:22" x14ac:dyDescent="0.25">
      <c r="A102" s="177"/>
      <c r="B102" s="177" t="s">
        <v>412</v>
      </c>
      <c r="C102" s="177" t="s">
        <v>51</v>
      </c>
    </row>
    <row r="103" spans="1:22" s="207" customFormat="1" x14ac:dyDescent="0.25">
      <c r="A103" s="206"/>
      <c r="B103" s="206" t="s">
        <v>255</v>
      </c>
      <c r="C103" s="206" t="s">
        <v>255</v>
      </c>
      <c r="D103" s="207" t="s">
        <v>263</v>
      </c>
      <c r="E103" s="206" t="s">
        <v>36</v>
      </c>
      <c r="F103" s="207" t="s">
        <v>413</v>
      </c>
      <c r="G103" s="207" t="s">
        <v>414</v>
      </c>
      <c r="Q103" s="208"/>
      <c r="S103" s="209"/>
      <c r="T103" s="210"/>
      <c r="U103" s="210"/>
      <c r="V103" s="210"/>
    </row>
    <row r="104" spans="1:22" x14ac:dyDescent="0.25">
      <c r="A104" s="181" t="s">
        <v>294</v>
      </c>
      <c r="B104" s="211">
        <v>135</v>
      </c>
      <c r="C104" s="211">
        <v>110</v>
      </c>
      <c r="D104" s="212">
        <v>30</v>
      </c>
      <c r="E104" s="212">
        <v>150</v>
      </c>
    </row>
    <row r="105" spans="1:22" x14ac:dyDescent="0.25">
      <c r="A105" s="181" t="s">
        <v>296</v>
      </c>
      <c r="B105" s="211">
        <v>150</v>
      </c>
      <c r="C105" s="211">
        <v>125</v>
      </c>
      <c r="D105" s="212">
        <v>20</v>
      </c>
      <c r="E105" s="212">
        <v>150</v>
      </c>
    </row>
    <row r="106" spans="1:22" x14ac:dyDescent="0.25">
      <c r="A106" s="181" t="s">
        <v>298</v>
      </c>
      <c r="B106" s="211">
        <v>215</v>
      </c>
      <c r="C106" s="211">
        <v>190</v>
      </c>
      <c r="D106" s="212">
        <v>40</v>
      </c>
      <c r="E106" s="212">
        <v>180</v>
      </c>
    </row>
    <row r="107" spans="1:22" x14ac:dyDescent="0.25">
      <c r="A107" s="181" t="s">
        <v>300</v>
      </c>
      <c r="B107" s="211">
        <v>255</v>
      </c>
      <c r="C107" s="211">
        <v>230</v>
      </c>
      <c r="D107" s="212">
        <v>40</v>
      </c>
      <c r="E107" s="212">
        <v>200</v>
      </c>
    </row>
    <row r="108" spans="1:22" x14ac:dyDescent="0.25">
      <c r="A108" s="181" t="s">
        <v>302</v>
      </c>
      <c r="B108" s="211">
        <v>215</v>
      </c>
      <c r="C108" s="211">
        <v>190</v>
      </c>
      <c r="D108" s="212">
        <v>40</v>
      </c>
      <c r="E108" s="212">
        <v>200</v>
      </c>
    </row>
    <row r="109" spans="1:22" x14ac:dyDescent="0.25">
      <c r="A109" s="181" t="s">
        <v>304</v>
      </c>
      <c r="B109" s="211">
        <v>165</v>
      </c>
      <c r="C109" s="211">
        <v>140</v>
      </c>
      <c r="D109" s="212">
        <v>25</v>
      </c>
      <c r="E109" s="212">
        <v>140</v>
      </c>
    </row>
    <row r="110" spans="1:22" x14ac:dyDescent="0.25">
      <c r="A110" s="181" t="s">
        <v>305</v>
      </c>
      <c r="B110" s="211">
        <v>125</v>
      </c>
      <c r="C110" s="211">
        <v>100</v>
      </c>
      <c r="D110" s="212">
        <v>35</v>
      </c>
      <c r="E110" s="212">
        <v>200</v>
      </c>
    </row>
    <row r="111" spans="1:22" x14ac:dyDescent="0.25">
      <c r="A111" s="181" t="s">
        <v>415</v>
      </c>
      <c r="B111" s="211">
        <v>0.01</v>
      </c>
      <c r="C111" s="211">
        <v>0.01</v>
      </c>
      <c r="D111" s="212">
        <v>32</v>
      </c>
      <c r="E111" s="211">
        <v>75</v>
      </c>
    </row>
    <row r="112" spans="1:22" x14ac:dyDescent="0.25">
      <c r="A112" s="181" t="s">
        <v>307</v>
      </c>
      <c r="B112" s="211">
        <v>285</v>
      </c>
      <c r="C112" s="211">
        <v>260</v>
      </c>
      <c r="D112" s="212">
        <v>40</v>
      </c>
      <c r="E112" s="212">
        <v>250</v>
      </c>
    </row>
    <row r="113" spans="1:7" x14ac:dyDescent="0.25">
      <c r="A113" s="181" t="s">
        <v>397</v>
      </c>
      <c r="B113" s="211"/>
      <c r="C113" s="211">
        <v>50</v>
      </c>
      <c r="D113" s="212">
        <v>25</v>
      </c>
      <c r="E113" s="212">
        <v>150</v>
      </c>
      <c r="F113">
        <v>65</v>
      </c>
      <c r="G113">
        <v>20</v>
      </c>
    </row>
    <row r="114" spans="1:7" x14ac:dyDescent="0.25">
      <c r="A114" s="181" t="s">
        <v>315</v>
      </c>
      <c r="B114" s="211">
        <v>146</v>
      </c>
      <c r="C114" s="211">
        <v>142</v>
      </c>
      <c r="D114" s="212">
        <v>37</v>
      </c>
      <c r="E114" s="211">
        <v>173</v>
      </c>
    </row>
    <row r="115" spans="1:7" x14ac:dyDescent="0.25">
      <c r="A115" s="181" t="s">
        <v>318</v>
      </c>
      <c r="B115" s="211">
        <v>165</v>
      </c>
      <c r="C115" s="211">
        <v>140</v>
      </c>
      <c r="D115" s="212">
        <v>40</v>
      </c>
      <c r="E115" s="212">
        <v>180</v>
      </c>
    </row>
    <row r="116" spans="1:7" x14ac:dyDescent="0.25">
      <c r="A116" s="181" t="s">
        <v>325</v>
      </c>
      <c r="B116" s="211">
        <v>195</v>
      </c>
      <c r="C116" s="211">
        <v>170</v>
      </c>
      <c r="D116" s="212">
        <v>35</v>
      </c>
      <c r="E116" s="211">
        <v>180</v>
      </c>
    </row>
    <row r="117" spans="1:7" x14ac:dyDescent="0.25">
      <c r="A117" s="181" t="s">
        <v>329</v>
      </c>
      <c r="B117" s="211">
        <v>235</v>
      </c>
      <c r="C117" s="211">
        <v>210</v>
      </c>
      <c r="D117" s="212">
        <v>40</v>
      </c>
      <c r="E117" s="212">
        <v>230</v>
      </c>
    </row>
    <row r="118" spans="1:7" x14ac:dyDescent="0.25">
      <c r="A118" s="181" t="s">
        <v>416</v>
      </c>
      <c r="B118" s="211"/>
      <c r="C118" s="211">
        <v>200</v>
      </c>
      <c r="D118" s="212">
        <v>45</v>
      </c>
      <c r="E118" s="212">
        <v>285</v>
      </c>
      <c r="F118">
        <v>115</v>
      </c>
      <c r="G118">
        <v>30</v>
      </c>
    </row>
    <row r="119" spans="1:7" x14ac:dyDescent="0.25">
      <c r="A119" s="181" t="s">
        <v>331</v>
      </c>
      <c r="B119" s="211">
        <v>165</v>
      </c>
      <c r="C119" s="211">
        <v>140</v>
      </c>
      <c r="D119" s="212">
        <v>32.5</v>
      </c>
      <c r="E119" s="211">
        <v>200</v>
      </c>
    </row>
    <row r="120" spans="1:7" x14ac:dyDescent="0.25">
      <c r="A120" s="181" t="s">
        <v>333</v>
      </c>
      <c r="B120" s="211">
        <v>205</v>
      </c>
      <c r="C120" s="211">
        <v>180</v>
      </c>
      <c r="D120" s="212">
        <v>30</v>
      </c>
      <c r="E120" s="212">
        <v>150</v>
      </c>
    </row>
    <row r="121" spans="1:7" x14ac:dyDescent="0.25">
      <c r="A121" s="181" t="s">
        <v>417</v>
      </c>
      <c r="B121" s="211"/>
      <c r="C121" s="211">
        <v>190</v>
      </c>
      <c r="D121" s="212">
        <v>45</v>
      </c>
      <c r="E121" s="212">
        <v>285</v>
      </c>
      <c r="F121">
        <v>130</v>
      </c>
      <c r="G121">
        <v>40</v>
      </c>
    </row>
    <row r="122" spans="1:7" x14ac:dyDescent="0.25">
      <c r="A122" s="181" t="s">
        <v>335</v>
      </c>
      <c r="B122" s="211">
        <v>225</v>
      </c>
      <c r="C122" s="211">
        <v>200</v>
      </c>
      <c r="D122" s="212">
        <v>35</v>
      </c>
      <c r="E122" s="212">
        <v>200</v>
      </c>
    </row>
    <row r="123" spans="1:7" x14ac:dyDescent="0.25">
      <c r="A123" s="181" t="s">
        <v>337</v>
      </c>
      <c r="B123" s="211">
        <v>240</v>
      </c>
      <c r="C123" s="211">
        <v>215</v>
      </c>
      <c r="D123" s="212">
        <v>40</v>
      </c>
      <c r="E123" s="212">
        <v>220</v>
      </c>
    </row>
    <row r="124" spans="1:7" x14ac:dyDescent="0.25">
      <c r="A124" s="181" t="s">
        <v>339</v>
      </c>
      <c r="B124" s="211">
        <v>180</v>
      </c>
      <c r="C124" s="211">
        <v>155</v>
      </c>
      <c r="D124" s="212">
        <v>35</v>
      </c>
      <c r="E124" s="212">
        <v>200</v>
      </c>
    </row>
    <row r="125" spans="1:7" x14ac:dyDescent="0.25">
      <c r="A125" s="181" t="s">
        <v>341</v>
      </c>
      <c r="B125" s="211">
        <v>265</v>
      </c>
      <c r="C125" s="211">
        <v>240</v>
      </c>
      <c r="D125" s="212">
        <v>40</v>
      </c>
      <c r="E125" s="212">
        <v>230</v>
      </c>
    </row>
    <row r="126" spans="1:7" x14ac:dyDescent="0.25">
      <c r="A126" s="181" t="s">
        <v>343</v>
      </c>
      <c r="B126" s="211">
        <v>165</v>
      </c>
      <c r="C126" s="211">
        <v>140</v>
      </c>
      <c r="D126" s="212">
        <v>30</v>
      </c>
      <c r="E126" s="212">
        <v>150</v>
      </c>
    </row>
    <row r="127" spans="1:7" x14ac:dyDescent="0.25">
      <c r="A127" s="181" t="s">
        <v>345</v>
      </c>
      <c r="B127" s="211">
        <v>265</v>
      </c>
      <c r="C127" s="211">
        <v>240</v>
      </c>
      <c r="D127" s="212">
        <v>40</v>
      </c>
      <c r="E127" s="212">
        <v>230</v>
      </c>
    </row>
    <row r="128" spans="1:7" x14ac:dyDescent="0.25">
      <c r="A128" s="181" t="s">
        <v>348</v>
      </c>
      <c r="B128" s="211">
        <v>120</v>
      </c>
      <c r="C128" s="211">
        <v>95</v>
      </c>
      <c r="D128" s="212">
        <v>25</v>
      </c>
      <c r="E128" s="212">
        <v>125</v>
      </c>
    </row>
    <row r="129" spans="1:22" x14ac:dyDescent="0.25">
      <c r="A129" s="181" t="s">
        <v>418</v>
      </c>
      <c r="B129" s="211">
        <v>150</v>
      </c>
      <c r="C129" s="211">
        <v>135</v>
      </c>
      <c r="D129" s="212">
        <v>30</v>
      </c>
      <c r="E129" s="212">
        <v>150</v>
      </c>
    </row>
    <row r="130" spans="1:22" x14ac:dyDescent="0.25">
      <c r="A130" s="181" t="s">
        <v>350</v>
      </c>
      <c r="B130" s="211">
        <v>155</v>
      </c>
      <c r="C130" s="211">
        <v>130</v>
      </c>
      <c r="D130" s="212">
        <v>40</v>
      </c>
      <c r="E130" s="212">
        <v>150</v>
      </c>
    </row>
    <row r="131" spans="1:22" x14ac:dyDescent="0.25">
      <c r="A131" s="181" t="s">
        <v>419</v>
      </c>
      <c r="B131" s="211"/>
      <c r="C131" s="211">
        <v>190</v>
      </c>
      <c r="D131" s="212">
        <v>40</v>
      </c>
      <c r="E131" s="212">
        <v>310</v>
      </c>
      <c r="F131">
        <v>150</v>
      </c>
      <c r="G131">
        <v>45</v>
      </c>
    </row>
    <row r="132" spans="1:22" ht="16.5" thickBot="1" x14ac:dyDescent="0.3">
      <c r="A132" s="181" t="s">
        <v>352</v>
      </c>
      <c r="B132" s="211">
        <v>0</v>
      </c>
      <c r="C132" s="211">
        <v>0</v>
      </c>
      <c r="D132" s="212">
        <v>25</v>
      </c>
      <c r="E132" s="211">
        <v>75</v>
      </c>
    </row>
    <row r="133" spans="1:22" ht="16.5" thickBot="1" x14ac:dyDescent="0.3">
      <c r="A133" s="181" t="s">
        <v>475</v>
      </c>
      <c r="B133" s="181">
        <v>80</v>
      </c>
      <c r="C133" s="158">
        <v>80</v>
      </c>
      <c r="D133" s="158">
        <v>17</v>
      </c>
      <c r="E133" s="158">
        <v>70</v>
      </c>
      <c r="F133" s="158">
        <v>17</v>
      </c>
      <c r="G133" s="213">
        <v>60</v>
      </c>
    </row>
    <row r="134" spans="1:22" ht="16.5" thickBot="1" x14ac:dyDescent="0.3">
      <c r="A134" s="181" t="s">
        <v>316</v>
      </c>
      <c r="B134" s="181">
        <v>40</v>
      </c>
      <c r="C134" s="158">
        <v>40</v>
      </c>
      <c r="D134" s="158">
        <v>17</v>
      </c>
      <c r="E134" s="158">
        <v>70</v>
      </c>
      <c r="F134" s="158">
        <v>17</v>
      </c>
      <c r="G134" s="213">
        <v>60</v>
      </c>
    </row>
    <row r="135" spans="1:22" x14ac:dyDescent="0.25">
      <c r="A135" s="181" t="s">
        <v>363</v>
      </c>
      <c r="B135" s="181"/>
      <c r="C135" s="159">
        <f>AVERAGE(C104:C134)</f>
        <v>149.25838709677421</v>
      </c>
      <c r="D135" s="159">
        <f>AVERAGE(D104:D134)</f>
        <v>33.725806451612904</v>
      </c>
      <c r="E135" s="159">
        <f>AVERAGE(E104:E134)</f>
        <v>179.29032258064515</v>
      </c>
      <c r="F135" s="159">
        <f>AVERAGE(F104:F134)</f>
        <v>82.333333333333329</v>
      </c>
      <c r="G135" s="159">
        <f>AVERAGE(G104:G134)</f>
        <v>42.5</v>
      </c>
    </row>
    <row r="136" spans="1:22" s="202" customFormat="1" x14ac:dyDescent="0.25">
      <c r="A136" s="202" t="s">
        <v>405</v>
      </c>
      <c r="Q136" s="214"/>
      <c r="S136" s="215"/>
      <c r="T136" s="216"/>
      <c r="U136" s="216"/>
      <c r="V136" s="216"/>
    </row>
    <row r="138" spans="1:22" x14ac:dyDescent="0.25">
      <c r="A138" s="217" t="s">
        <v>420</v>
      </c>
      <c r="G138" s="218" t="s">
        <v>421</v>
      </c>
    </row>
    <row r="139" spans="1:22" x14ac:dyDescent="0.25">
      <c r="A139" s="196" t="s">
        <v>422</v>
      </c>
    </row>
    <row r="140" spans="1:22" x14ac:dyDescent="0.25">
      <c r="A140" s="196" t="s">
        <v>423</v>
      </c>
    </row>
    <row r="141" spans="1:22" x14ac:dyDescent="0.25">
      <c r="A141" s="196" t="s">
        <v>424</v>
      </c>
    </row>
    <row r="142" spans="1:22" x14ac:dyDescent="0.25">
      <c r="A142" s="196" t="s">
        <v>367</v>
      </c>
    </row>
    <row r="143" spans="1:22" x14ac:dyDescent="0.25">
      <c r="A143" s="196" t="s">
        <v>371</v>
      </c>
    </row>
    <row r="144" spans="1:22" x14ac:dyDescent="0.25">
      <c r="A144" s="196" t="s">
        <v>372</v>
      </c>
    </row>
    <row r="145" spans="1:4" x14ac:dyDescent="0.25">
      <c r="A145" s="196" t="s">
        <v>373</v>
      </c>
    </row>
    <row r="146" spans="1:4" ht="16.5" thickBot="1" x14ac:dyDescent="0.3"/>
    <row r="147" spans="1:4" ht="23.25" x14ac:dyDescent="0.35">
      <c r="A147" s="219" t="s">
        <v>425</v>
      </c>
      <c r="B147" s="220"/>
      <c r="C147" s="220"/>
      <c r="D147" s="221"/>
    </row>
    <row r="148" spans="1:4" x14ac:dyDescent="0.25">
      <c r="A148" s="222"/>
      <c r="D148" s="223"/>
    </row>
    <row r="149" spans="1:4" x14ac:dyDescent="0.25">
      <c r="A149" s="224" t="s">
        <v>426</v>
      </c>
      <c r="B149" s="271"/>
      <c r="D149" s="223"/>
    </row>
    <row r="150" spans="1:4" x14ac:dyDescent="0.25">
      <c r="A150" s="224" t="s">
        <v>427</v>
      </c>
      <c r="B150" s="271"/>
      <c r="D150" s="223"/>
    </row>
    <row r="151" spans="1:4" x14ac:dyDescent="0.25">
      <c r="A151" s="225"/>
      <c r="B151" s="271"/>
      <c r="D151" s="223"/>
    </row>
    <row r="152" spans="1:4" x14ac:dyDescent="0.25">
      <c r="A152" s="224" t="s">
        <v>428</v>
      </c>
      <c r="B152" s="271"/>
      <c r="D152" s="223"/>
    </row>
    <row r="153" spans="1:4" x14ac:dyDescent="0.25">
      <c r="A153" s="224" t="s">
        <v>429</v>
      </c>
      <c r="B153" s="271"/>
      <c r="D153" s="223"/>
    </row>
    <row r="154" spans="1:4" x14ac:dyDescent="0.25">
      <c r="A154" s="224" t="s">
        <v>430</v>
      </c>
      <c r="B154" s="271"/>
      <c r="D154" s="223"/>
    </row>
    <row r="155" spans="1:4" x14ac:dyDescent="0.25">
      <c r="A155" s="224" t="s">
        <v>431</v>
      </c>
      <c r="B155" s="271"/>
      <c r="D155" s="223"/>
    </row>
    <row r="156" spans="1:4" x14ac:dyDescent="0.25">
      <c r="A156" s="225"/>
      <c r="B156" s="271"/>
      <c r="D156" s="223"/>
    </row>
    <row r="157" spans="1:4" x14ac:dyDescent="0.25">
      <c r="A157" s="224" t="s">
        <v>432</v>
      </c>
      <c r="B157" s="271"/>
      <c r="D157" s="223"/>
    </row>
    <row r="158" spans="1:4" x14ac:dyDescent="0.25">
      <c r="A158" s="224" t="s">
        <v>433</v>
      </c>
      <c r="B158" s="271"/>
      <c r="D158" s="223"/>
    </row>
    <row r="159" spans="1:4" x14ac:dyDescent="0.25">
      <c r="A159" s="225"/>
      <c r="B159" s="271"/>
      <c r="D159" s="223"/>
    </row>
    <row r="160" spans="1:4" x14ac:dyDescent="0.25">
      <c r="A160" s="224" t="s">
        <v>434</v>
      </c>
      <c r="B160" s="271"/>
      <c r="D160" s="223"/>
    </row>
    <row r="161" spans="1:4" x14ac:dyDescent="0.25">
      <c r="A161" s="225"/>
      <c r="B161" s="271"/>
      <c r="D161" s="223"/>
    </row>
    <row r="162" spans="1:4" x14ac:dyDescent="0.25">
      <c r="A162" s="226">
        <v>0.34100000000000003</v>
      </c>
      <c r="B162" s="271"/>
      <c r="D162" s="223"/>
    </row>
    <row r="163" spans="1:4" x14ac:dyDescent="0.25">
      <c r="A163" s="225"/>
      <c r="B163" s="271"/>
      <c r="D163" s="223"/>
    </row>
    <row r="164" spans="1:4" x14ac:dyDescent="0.25">
      <c r="A164" s="225"/>
      <c r="B164" s="271"/>
      <c r="D164" s="223"/>
    </row>
    <row r="165" spans="1:4" x14ac:dyDescent="0.25">
      <c r="A165" s="225"/>
      <c r="B165" s="271"/>
      <c r="D165" s="223"/>
    </row>
    <row r="166" spans="1:4" x14ac:dyDescent="0.25">
      <c r="A166" s="225"/>
      <c r="B166" s="271"/>
      <c r="D166" s="223"/>
    </row>
    <row r="167" spans="1:4" x14ac:dyDescent="0.25">
      <c r="A167" s="225"/>
      <c r="B167" s="271"/>
      <c r="D167" s="223"/>
    </row>
    <row r="168" spans="1:4" x14ac:dyDescent="0.25">
      <c r="A168" s="225"/>
      <c r="B168" s="271"/>
      <c r="D168" s="223"/>
    </row>
    <row r="169" spans="1:4" x14ac:dyDescent="0.25">
      <c r="A169" s="224" t="s">
        <v>435</v>
      </c>
      <c r="B169" s="271"/>
      <c r="D169" s="223"/>
    </row>
    <row r="170" spans="1:4" x14ac:dyDescent="0.25">
      <c r="A170" s="227">
        <v>0.57999999999999996</v>
      </c>
      <c r="B170" s="271"/>
      <c r="D170" s="223"/>
    </row>
    <row r="171" spans="1:4" x14ac:dyDescent="0.25">
      <c r="A171" s="225"/>
      <c r="B171" s="271"/>
      <c r="D171" s="223"/>
    </row>
    <row r="172" spans="1:4" x14ac:dyDescent="0.25">
      <c r="A172" s="224" t="s">
        <v>436</v>
      </c>
      <c r="B172" s="271"/>
      <c r="D172" s="223"/>
    </row>
    <row r="173" spans="1:4" x14ac:dyDescent="0.25">
      <c r="A173" s="224" t="s">
        <v>437</v>
      </c>
      <c r="B173" s="271"/>
      <c r="D173" s="223"/>
    </row>
    <row r="174" spans="1:4" x14ac:dyDescent="0.25">
      <c r="A174" s="225"/>
      <c r="B174" s="271"/>
      <c r="D174" s="223"/>
    </row>
    <row r="175" spans="1:4" x14ac:dyDescent="0.25">
      <c r="A175" s="224" t="s">
        <v>438</v>
      </c>
      <c r="B175" s="271"/>
      <c r="D175" s="223"/>
    </row>
    <row r="176" spans="1:4" x14ac:dyDescent="0.25">
      <c r="A176" s="224" t="s">
        <v>439</v>
      </c>
      <c r="B176" s="271"/>
      <c r="D176" s="223"/>
    </row>
    <row r="177" spans="1:6" x14ac:dyDescent="0.25">
      <c r="A177" s="225"/>
      <c r="B177" s="271"/>
      <c r="D177" s="223"/>
    </row>
    <row r="178" spans="1:6" x14ac:dyDescent="0.25">
      <c r="A178" s="224" t="s">
        <v>440</v>
      </c>
      <c r="B178" s="271"/>
      <c r="D178" s="223"/>
    </row>
    <row r="179" spans="1:6" ht="18" x14ac:dyDescent="0.25">
      <c r="A179" s="224" t="s">
        <v>441</v>
      </c>
      <c r="B179" s="271"/>
      <c r="D179" s="223"/>
    </row>
    <row r="180" spans="1:6" x14ac:dyDescent="0.25">
      <c r="A180" s="225"/>
      <c r="B180" s="271"/>
      <c r="D180" s="223"/>
    </row>
    <row r="181" spans="1:6" x14ac:dyDescent="0.25">
      <c r="A181" s="224" t="s">
        <v>442</v>
      </c>
      <c r="B181" s="271"/>
      <c r="D181" s="223"/>
    </row>
    <row r="182" spans="1:6" x14ac:dyDescent="0.25">
      <c r="A182" s="224" t="s">
        <v>443</v>
      </c>
      <c r="B182" s="271"/>
      <c r="D182" s="223"/>
    </row>
    <row r="183" spans="1:6" x14ac:dyDescent="0.25">
      <c r="A183" s="225"/>
      <c r="B183" s="228"/>
      <c r="D183" s="223"/>
    </row>
    <row r="184" spans="1:6" x14ac:dyDescent="0.25">
      <c r="A184" s="222"/>
      <c r="D184" s="223"/>
    </row>
    <row r="185" spans="1:6" ht="16.5" thickBot="1" x14ac:dyDescent="0.3">
      <c r="A185" s="229" t="s">
        <v>444</v>
      </c>
      <c r="B185" s="230"/>
      <c r="C185" s="230"/>
      <c r="D185" s="231"/>
    </row>
    <row r="190" spans="1:6" x14ac:dyDescent="0.25">
      <c r="B190">
        <v>15</v>
      </c>
    </row>
    <row r="191" spans="1:6" x14ac:dyDescent="0.25">
      <c r="B191">
        <v>18</v>
      </c>
      <c r="C191">
        <v>12</v>
      </c>
      <c r="D191" s="145">
        <f>B191/C191</f>
        <v>1.5</v>
      </c>
    </row>
    <row r="192" spans="1:6" x14ac:dyDescent="0.25">
      <c r="B192">
        <f>B190*B191</f>
        <v>270</v>
      </c>
      <c r="F192" t="s">
        <v>445</v>
      </c>
    </row>
    <row r="193" spans="2:9" ht="16.5" thickBot="1" x14ac:dyDescent="0.3"/>
    <row r="194" spans="2:9" x14ac:dyDescent="0.25">
      <c r="B194" s="232">
        <v>1</v>
      </c>
      <c r="C194" s="220" t="s">
        <v>446</v>
      </c>
      <c r="D194" s="220"/>
      <c r="E194" s="220"/>
      <c r="F194" s="220" t="s">
        <v>447</v>
      </c>
      <c r="G194" s="220"/>
      <c r="H194" s="220"/>
      <c r="I194" s="221"/>
    </row>
    <row r="195" spans="2:9" x14ac:dyDescent="0.25">
      <c r="B195" s="233">
        <v>2</v>
      </c>
      <c r="E195" t="s">
        <v>448</v>
      </c>
      <c r="I195" s="223"/>
    </row>
    <row r="196" spans="2:9" x14ac:dyDescent="0.25">
      <c r="B196" s="222">
        <v>3</v>
      </c>
      <c r="C196" t="s">
        <v>449</v>
      </c>
      <c r="F196" t="s">
        <v>450</v>
      </c>
      <c r="I196" s="223"/>
    </row>
    <row r="197" spans="2:9" x14ac:dyDescent="0.25">
      <c r="B197" s="233">
        <v>4</v>
      </c>
      <c r="E197" t="s">
        <v>451</v>
      </c>
      <c r="I197" s="223"/>
    </row>
    <row r="198" spans="2:9" x14ac:dyDescent="0.25">
      <c r="B198" s="222">
        <v>5</v>
      </c>
      <c r="C198" t="s">
        <v>452</v>
      </c>
      <c r="F198" t="s">
        <v>453</v>
      </c>
      <c r="I198" s="223"/>
    </row>
    <row r="199" spans="2:9" x14ac:dyDescent="0.25">
      <c r="B199" s="233">
        <v>6</v>
      </c>
      <c r="E199" t="s">
        <v>454</v>
      </c>
      <c r="I199" s="223"/>
    </row>
    <row r="200" spans="2:9" x14ac:dyDescent="0.25">
      <c r="B200" s="222">
        <v>7</v>
      </c>
      <c r="C200" t="s">
        <v>455</v>
      </c>
      <c r="F200" t="s">
        <v>456</v>
      </c>
      <c r="I200" s="223"/>
    </row>
    <row r="201" spans="2:9" x14ac:dyDescent="0.25">
      <c r="B201" s="233">
        <v>8</v>
      </c>
      <c r="E201" t="s">
        <v>457</v>
      </c>
      <c r="I201" s="223"/>
    </row>
    <row r="202" spans="2:9" x14ac:dyDescent="0.25">
      <c r="B202" s="222">
        <v>9</v>
      </c>
      <c r="C202" t="s">
        <v>458</v>
      </c>
      <c r="F202" t="s">
        <v>459</v>
      </c>
      <c r="I202" s="223"/>
    </row>
    <row r="203" spans="2:9" x14ac:dyDescent="0.25">
      <c r="B203" s="233">
        <v>10</v>
      </c>
      <c r="F203" t="s">
        <v>459</v>
      </c>
      <c r="I203" s="223"/>
    </row>
    <row r="204" spans="2:9" x14ac:dyDescent="0.25">
      <c r="B204" s="222">
        <v>11</v>
      </c>
      <c r="C204" t="s">
        <v>460</v>
      </c>
      <c r="F204" t="s">
        <v>461</v>
      </c>
      <c r="I204" s="223"/>
    </row>
    <row r="205" spans="2:9" ht="16.5" thickBot="1" x14ac:dyDescent="0.3">
      <c r="B205" s="234">
        <v>12</v>
      </c>
      <c r="C205" s="230"/>
      <c r="D205" s="230"/>
      <c r="E205" s="230" t="s">
        <v>462</v>
      </c>
      <c r="F205" s="230"/>
      <c r="G205" s="230"/>
      <c r="H205" s="230"/>
      <c r="I205" s="231"/>
    </row>
  </sheetData>
  <mergeCells count="10">
    <mergeCell ref="A96:L96"/>
    <mergeCell ref="B149:B153"/>
    <mergeCell ref="B154:B162"/>
    <mergeCell ref="B163:B182"/>
    <mergeCell ref="A7:K7"/>
    <mergeCell ref="A51:K51"/>
    <mergeCell ref="A53:K53"/>
    <mergeCell ref="A58:K58"/>
    <mergeCell ref="A60:K60"/>
    <mergeCell ref="A94:L94"/>
  </mergeCells>
  <pageMargins left="0.7" right="0.7" top="0.75" bottom="0.75" header="0.3" footer="0.3"/>
  <pageSetup paperSize="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elektronisk</vt:lpstr>
      <vt:lpstr>beregning</vt:lpstr>
      <vt:lpstr>gødning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2006-09-25T13:34:53Z</dcterms:created>
  <dcterms:modified xsi:type="dcterms:W3CDTF">2025-10-27T09:21:56Z</dcterms:modified>
</cp:coreProperties>
</file>